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155" windowHeight="6480" activeTab="1"/>
  </bookViews>
  <sheets>
    <sheet name="Мерилки" sheetId="1" r:id="rId1"/>
    <sheet name="Расчет" sheetId="2" r:id="rId2"/>
    <sheet name="Классификация" sheetId="3" r:id="rId3"/>
  </sheets>
  <calcPr calcId="145621"/>
</workbook>
</file>

<file path=xl/calcChain.xml><?xml version="1.0" encoding="utf-8"?>
<calcChain xmlns="http://schemas.openxmlformats.org/spreadsheetml/2006/main">
  <c r="D3" i="1" l="1"/>
  <c r="D34" i="1"/>
  <c r="D65" i="1"/>
  <c r="D96" i="1"/>
  <c r="D127" i="1"/>
  <c r="D158" i="1"/>
  <c r="D189" i="1"/>
  <c r="D220" i="1"/>
  <c r="D251" i="1"/>
  <c r="D282" i="1"/>
  <c r="D313" i="1"/>
  <c r="D344" i="1"/>
  <c r="J87" i="1"/>
  <c r="I87" i="1"/>
  <c r="H87" i="1"/>
  <c r="G87" i="1"/>
  <c r="F87" i="1"/>
  <c r="E87" i="1"/>
  <c r="D87" i="1"/>
  <c r="C87" i="1"/>
  <c r="I118" i="1"/>
  <c r="H118" i="1"/>
  <c r="G118" i="1"/>
  <c r="F118" i="1"/>
  <c r="E118" i="1"/>
  <c r="D118" i="1"/>
  <c r="J118" i="1" s="1"/>
  <c r="C118" i="1"/>
  <c r="I149" i="1"/>
  <c r="H149" i="1"/>
  <c r="G149" i="1"/>
  <c r="F149" i="1"/>
  <c r="E149" i="1"/>
  <c r="D149" i="1"/>
  <c r="J149" i="1" s="1"/>
  <c r="C149" i="1"/>
  <c r="I180" i="1"/>
  <c r="H180" i="1"/>
  <c r="G180" i="1"/>
  <c r="F180" i="1"/>
  <c r="E180" i="1"/>
  <c r="D180" i="1"/>
  <c r="J180" i="1" s="1"/>
  <c r="C180" i="1"/>
  <c r="I211" i="1"/>
  <c r="H211" i="1"/>
  <c r="G211" i="1"/>
  <c r="F211" i="1"/>
  <c r="E211" i="1"/>
  <c r="D211" i="1"/>
  <c r="J211" i="1" s="1"/>
  <c r="C211" i="1"/>
  <c r="I242" i="1"/>
  <c r="H242" i="1"/>
  <c r="G242" i="1"/>
  <c r="F242" i="1"/>
  <c r="E242" i="1"/>
  <c r="D242" i="1"/>
  <c r="C242" i="1"/>
  <c r="J242" i="1" s="1"/>
  <c r="I273" i="1"/>
  <c r="H273" i="1"/>
  <c r="G273" i="1"/>
  <c r="F273" i="1"/>
  <c r="E273" i="1"/>
  <c r="D273" i="1"/>
  <c r="C273" i="1"/>
  <c r="J273" i="1" s="1"/>
  <c r="I304" i="1"/>
  <c r="H304" i="1"/>
  <c r="G304" i="1"/>
  <c r="F304" i="1"/>
  <c r="E304" i="1"/>
  <c r="D304" i="1"/>
  <c r="C304" i="1"/>
  <c r="J304" i="1" s="1"/>
  <c r="I335" i="1"/>
  <c r="H335" i="1"/>
  <c r="G335" i="1"/>
  <c r="F335" i="1"/>
  <c r="E335" i="1"/>
  <c r="D335" i="1"/>
  <c r="C335" i="1"/>
  <c r="J335" i="1" s="1"/>
  <c r="A4" i="3"/>
  <c r="S100" i="2" l="1"/>
  <c r="S99" i="2"/>
  <c r="S98" i="2"/>
  <c r="S97" i="2"/>
  <c r="S96" i="2"/>
  <c r="S95" i="2"/>
  <c r="S94" i="2"/>
  <c r="S93" i="2"/>
  <c r="S92" i="2"/>
  <c r="S91" i="2"/>
  <c r="S90" i="2"/>
  <c r="S86" i="2"/>
  <c r="S85" i="2"/>
  <c r="S84" i="2"/>
  <c r="S83" i="2"/>
  <c r="S82" i="2"/>
  <c r="S81" i="2"/>
  <c r="S80" i="2"/>
  <c r="S79" i="2"/>
  <c r="S78" i="2"/>
  <c r="S77" i="2"/>
  <c r="S76" i="2"/>
  <c r="B111" i="1"/>
  <c r="B235" i="1"/>
  <c r="B234" i="1"/>
  <c r="B203" i="1"/>
  <c r="K72" i="2" l="1"/>
  <c r="L72" i="2" s="1"/>
  <c r="M72" i="2" s="1"/>
  <c r="K71" i="2"/>
  <c r="L71" i="2" s="1"/>
  <c r="M71" i="2" s="1"/>
  <c r="K70" i="2"/>
  <c r="L70" i="2" s="1"/>
  <c r="M70" i="2" s="1"/>
  <c r="K69" i="2"/>
  <c r="L69" i="2" s="1"/>
  <c r="M69" i="2" s="1"/>
  <c r="K68" i="2"/>
  <c r="L68" i="2" s="1"/>
  <c r="M68" i="2" s="1"/>
  <c r="K67" i="2"/>
  <c r="L67" i="2" s="1"/>
  <c r="M67" i="2" s="1"/>
  <c r="K66" i="2"/>
  <c r="L66" i="2" s="1"/>
  <c r="M66" i="2" s="1"/>
  <c r="K65" i="2"/>
  <c r="L65" i="2" s="1"/>
  <c r="M65" i="2" s="1"/>
  <c r="K64" i="2"/>
  <c r="L64" i="2" s="1"/>
  <c r="M64" i="2" s="1"/>
  <c r="K63" i="2"/>
  <c r="L63" i="2" s="1"/>
  <c r="M63" i="2" s="1"/>
  <c r="K62" i="2"/>
  <c r="L62" i="2" s="1"/>
  <c r="M62" i="2" s="1"/>
  <c r="K58" i="2"/>
  <c r="L58" i="2" s="1"/>
  <c r="M58" i="2" s="1"/>
  <c r="K57" i="2"/>
  <c r="L57" i="2" s="1"/>
  <c r="M57" i="2" s="1"/>
  <c r="K56" i="2"/>
  <c r="L56" i="2" s="1"/>
  <c r="M56" i="2" s="1"/>
  <c r="K55" i="2"/>
  <c r="L55" i="2" s="1"/>
  <c r="M55" i="2" s="1"/>
  <c r="K54" i="2"/>
  <c r="L54" i="2" s="1"/>
  <c r="M54" i="2" s="1"/>
  <c r="K53" i="2"/>
  <c r="L53" i="2" s="1"/>
  <c r="M53" i="2" s="1"/>
  <c r="K52" i="2"/>
  <c r="L52" i="2" s="1"/>
  <c r="M52" i="2" s="1"/>
  <c r="K51" i="2"/>
  <c r="L51" i="2" s="1"/>
  <c r="M51" i="2" s="1"/>
  <c r="K50" i="2"/>
  <c r="L50" i="2" s="1"/>
  <c r="M50" i="2" s="1"/>
  <c r="L49" i="2"/>
  <c r="M49" i="2" s="1"/>
  <c r="K49" i="2"/>
  <c r="K48" i="2"/>
  <c r="L48" i="2" s="1"/>
  <c r="M48" i="2" s="1"/>
  <c r="K44" i="2"/>
  <c r="L44" i="2" s="1"/>
  <c r="M44" i="2" s="1"/>
  <c r="K43" i="2"/>
  <c r="L43" i="2" s="1"/>
  <c r="M43" i="2" s="1"/>
  <c r="K42" i="2"/>
  <c r="L42" i="2" s="1"/>
  <c r="M42" i="2" s="1"/>
  <c r="K41" i="2"/>
  <c r="L41" i="2" s="1"/>
  <c r="M41" i="2" s="1"/>
  <c r="K40" i="2"/>
  <c r="L40" i="2" s="1"/>
  <c r="M40" i="2" s="1"/>
  <c r="K39" i="2"/>
  <c r="L39" i="2" s="1"/>
  <c r="M39" i="2" s="1"/>
  <c r="K38" i="2"/>
  <c r="L38" i="2" s="1"/>
  <c r="M38" i="2" s="1"/>
  <c r="K37" i="2"/>
  <c r="L37" i="2" s="1"/>
  <c r="M37" i="2" s="1"/>
  <c r="K36" i="2"/>
  <c r="L36" i="2" s="1"/>
  <c r="M36" i="2" s="1"/>
  <c r="K35" i="2"/>
  <c r="L35" i="2" s="1"/>
  <c r="M35" i="2" s="1"/>
  <c r="K34" i="2"/>
  <c r="L34" i="2" s="1"/>
  <c r="M34" i="2" s="1"/>
  <c r="K16" i="2"/>
  <c r="L16" i="2" s="1"/>
  <c r="M16" i="2" s="1"/>
  <c r="K30" i="2"/>
  <c r="L30" i="2" s="1"/>
  <c r="M30" i="2" s="1"/>
  <c r="K29" i="2"/>
  <c r="L29" i="2" s="1"/>
  <c r="M29" i="2" s="1"/>
  <c r="K28" i="2"/>
  <c r="L28" i="2" s="1"/>
  <c r="M28" i="2" s="1"/>
  <c r="K27" i="2"/>
  <c r="L27" i="2" s="1"/>
  <c r="M27" i="2" s="1"/>
  <c r="K26" i="2"/>
  <c r="L26" i="2" s="1"/>
  <c r="M26" i="2" s="1"/>
  <c r="K25" i="2"/>
  <c r="L25" i="2" s="1"/>
  <c r="M25" i="2" s="1"/>
  <c r="K24" i="2"/>
  <c r="L24" i="2" s="1"/>
  <c r="M24" i="2" s="1"/>
  <c r="K23" i="2"/>
  <c r="L23" i="2" s="1"/>
  <c r="M23" i="2" s="1"/>
  <c r="K22" i="2"/>
  <c r="L22" i="2" s="1"/>
  <c r="M22" i="2" s="1"/>
  <c r="K21" i="2"/>
  <c r="L21" i="2" s="1"/>
  <c r="M21" i="2" s="1"/>
  <c r="K20" i="2"/>
  <c r="L20" i="2" s="1"/>
  <c r="M20" i="2" s="1"/>
  <c r="B362" i="1"/>
  <c r="D361" i="1"/>
  <c r="D360" i="1"/>
  <c r="B360" i="1"/>
  <c r="D359" i="1"/>
  <c r="D358" i="1"/>
  <c r="D362" i="1" s="1"/>
  <c r="P354" i="1"/>
  <c r="M364" i="1" s="1"/>
  <c r="N354" i="1"/>
  <c r="P351" i="1" s="1"/>
  <c r="P352" i="1"/>
  <c r="P350" i="1"/>
  <c r="J350" i="1"/>
  <c r="B361" i="1" s="1"/>
  <c r="P349" i="1"/>
  <c r="P353" i="1" s="1"/>
  <c r="J349" i="1"/>
  <c r="I342" i="1"/>
  <c r="N342" i="1" s="1"/>
  <c r="K11" i="2"/>
  <c r="L11" i="2" s="1"/>
  <c r="M11" i="2" s="1"/>
  <c r="D332" i="1"/>
  <c r="I334" i="1" s="1"/>
  <c r="B331" i="1"/>
  <c r="P329" i="1"/>
  <c r="D329" i="1" s="1"/>
  <c r="D331" i="1" s="1"/>
  <c r="B329" i="1"/>
  <c r="N323" i="1"/>
  <c r="P320" i="1" s="1"/>
  <c r="P321" i="1"/>
  <c r="P319" i="1"/>
  <c r="J319" i="1"/>
  <c r="B330" i="1" s="1"/>
  <c r="P318" i="1"/>
  <c r="P322" i="1" s="1"/>
  <c r="P323" i="1" s="1"/>
  <c r="M333" i="1" s="1"/>
  <c r="J318" i="1"/>
  <c r="I311" i="1"/>
  <c r="N311" i="1" s="1"/>
  <c r="D363" i="1" l="1"/>
  <c r="I365" i="1" s="1"/>
  <c r="G365" i="1" s="1"/>
  <c r="F359" i="1"/>
  <c r="J328" i="1"/>
  <c r="H334" i="1"/>
  <c r="F334" i="1"/>
  <c r="D334" i="1"/>
  <c r="I340" i="1"/>
  <c r="I339" i="1"/>
  <c r="I338" i="1"/>
  <c r="I337" i="1"/>
  <c r="I336" i="1"/>
  <c r="G334" i="1"/>
  <c r="E334" i="1"/>
  <c r="C334" i="1"/>
  <c r="J327" i="1"/>
  <c r="I366" i="1" l="1"/>
  <c r="J359" i="1" s="1"/>
  <c r="G366" i="1"/>
  <c r="E366" i="1"/>
  <c r="C366" i="1"/>
  <c r="H366" i="1"/>
  <c r="F366" i="1"/>
  <c r="D366" i="1"/>
  <c r="J366" i="1" s="1"/>
  <c r="D365" i="1"/>
  <c r="J358" i="1"/>
  <c r="F365" i="1"/>
  <c r="E365" i="1"/>
  <c r="H365" i="1"/>
  <c r="C365" i="1"/>
  <c r="C370" i="1" s="1"/>
  <c r="I371" i="1"/>
  <c r="F371" i="1"/>
  <c r="G371" i="1"/>
  <c r="E340" i="1"/>
  <c r="E339" i="1"/>
  <c r="E338" i="1"/>
  <c r="E337" i="1"/>
  <c r="E336" i="1"/>
  <c r="F340" i="1"/>
  <c r="F339" i="1"/>
  <c r="F338" i="1"/>
  <c r="F337" i="1"/>
  <c r="F336" i="1"/>
  <c r="J334" i="1"/>
  <c r="C340" i="1"/>
  <c r="C339" i="1"/>
  <c r="C338" i="1"/>
  <c r="C337" i="1"/>
  <c r="C336" i="1"/>
  <c r="G340" i="1"/>
  <c r="G339" i="1"/>
  <c r="G338" i="1"/>
  <c r="G337" i="1"/>
  <c r="G336" i="1"/>
  <c r="D340" i="1"/>
  <c r="D339" i="1"/>
  <c r="D338" i="1"/>
  <c r="D337" i="1"/>
  <c r="D336" i="1"/>
  <c r="H327" i="1" s="1"/>
  <c r="H340" i="1"/>
  <c r="H339" i="1"/>
  <c r="H338" i="1"/>
  <c r="H337" i="1"/>
  <c r="H336" i="1"/>
  <c r="E370" i="1" l="1"/>
  <c r="C371" i="1"/>
  <c r="I367" i="1"/>
  <c r="I370" i="1"/>
  <c r="I369" i="1"/>
  <c r="I368" i="1"/>
  <c r="C368" i="1"/>
  <c r="D370" i="1"/>
  <c r="C369" i="1"/>
  <c r="C367" i="1"/>
  <c r="J365" i="1"/>
  <c r="H371" i="1"/>
  <c r="G368" i="1"/>
  <c r="G370" i="1"/>
  <c r="G367" i="1"/>
  <c r="G369" i="1"/>
  <c r="H368" i="1"/>
  <c r="H370" i="1"/>
  <c r="D367" i="1"/>
  <c r="D369" i="1"/>
  <c r="D371" i="1"/>
  <c r="E367" i="1"/>
  <c r="E369" i="1"/>
  <c r="E371" i="1"/>
  <c r="F368" i="1"/>
  <c r="F370" i="1"/>
  <c r="H367" i="1"/>
  <c r="H369" i="1"/>
  <c r="D368" i="1"/>
  <c r="E368" i="1"/>
  <c r="F367" i="1"/>
  <c r="F369" i="1"/>
  <c r="H328" i="1"/>
  <c r="J336" i="1"/>
  <c r="J338" i="1"/>
  <c r="J340" i="1"/>
  <c r="J337" i="1"/>
  <c r="J339" i="1"/>
  <c r="K15" i="2"/>
  <c r="L15" i="2" s="1"/>
  <c r="K14" i="2"/>
  <c r="L14" i="2" s="1"/>
  <c r="K13" i="2"/>
  <c r="L13" i="2" s="1"/>
  <c r="K12" i="2"/>
  <c r="L12" i="2" s="1"/>
  <c r="K10" i="2"/>
  <c r="L10" i="2" s="1"/>
  <c r="K9" i="2"/>
  <c r="L9" i="2" s="1"/>
  <c r="K8" i="2"/>
  <c r="L8" i="2" s="1"/>
  <c r="K7" i="2"/>
  <c r="L7" i="2" s="1"/>
  <c r="K6" i="2"/>
  <c r="L6" i="2" s="1"/>
  <c r="J333" i="1" l="1"/>
  <c r="J370" i="1"/>
  <c r="J368" i="1"/>
  <c r="J371" i="1"/>
  <c r="J367" i="1"/>
  <c r="J369" i="1"/>
  <c r="H358" i="1"/>
  <c r="D14" i="2"/>
  <c r="B14" i="2"/>
  <c r="D13" i="2"/>
  <c r="B13" i="2"/>
  <c r="D12" i="2"/>
  <c r="B12" i="2"/>
  <c r="D10" i="2"/>
  <c r="B10" i="2"/>
  <c r="D9" i="2"/>
  <c r="B9" i="2"/>
  <c r="D8" i="2"/>
  <c r="B8" i="2"/>
  <c r="D7" i="2"/>
  <c r="B7" i="2"/>
  <c r="D6" i="2"/>
  <c r="B6" i="2"/>
  <c r="B300" i="1"/>
  <c r="D299" i="1"/>
  <c r="D298" i="1"/>
  <c r="B298" i="1"/>
  <c r="D297" i="1"/>
  <c r="B297" i="1"/>
  <c r="D296" i="1"/>
  <c r="D301" i="1" s="1"/>
  <c r="B296" i="1"/>
  <c r="F297" i="1" s="1"/>
  <c r="N292" i="1"/>
  <c r="P290" i="1" s="1"/>
  <c r="J288" i="1"/>
  <c r="J287" i="1"/>
  <c r="I280" i="1"/>
  <c r="N280" i="1" s="1"/>
  <c r="B269" i="1"/>
  <c r="D268" i="1"/>
  <c r="D267" i="1"/>
  <c r="B267" i="1"/>
  <c r="F266" i="1"/>
  <c r="D266" i="1"/>
  <c r="D265" i="1"/>
  <c r="N261" i="1"/>
  <c r="P259" i="1" s="1"/>
  <c r="J257" i="1"/>
  <c r="J256" i="1"/>
  <c r="I249" i="1"/>
  <c r="N249" i="1" s="1"/>
  <c r="B238" i="1"/>
  <c r="D237" i="1"/>
  <c r="D236" i="1"/>
  <c r="B236" i="1"/>
  <c r="F235" i="1"/>
  <c r="D235" i="1"/>
  <c r="D234" i="1"/>
  <c r="N230" i="1"/>
  <c r="P228" i="1" s="1"/>
  <c r="J226" i="1"/>
  <c r="J225" i="1"/>
  <c r="I218" i="1"/>
  <c r="N218" i="1" s="1"/>
  <c r="B207" i="1"/>
  <c r="D206" i="1"/>
  <c r="D205" i="1"/>
  <c r="B205" i="1"/>
  <c r="F204" i="1"/>
  <c r="D204" i="1"/>
  <c r="D203" i="1"/>
  <c r="N199" i="1"/>
  <c r="P196" i="1" s="1"/>
  <c r="J195" i="1"/>
  <c r="J194" i="1"/>
  <c r="I187" i="1"/>
  <c r="N187" i="1" s="1"/>
  <c r="B176" i="1"/>
  <c r="D175" i="1"/>
  <c r="D174" i="1"/>
  <c r="B174" i="1"/>
  <c r="F173" i="1"/>
  <c r="D173" i="1"/>
  <c r="D172" i="1"/>
  <c r="P168" i="1"/>
  <c r="M178" i="1" s="1"/>
  <c r="N168" i="1"/>
  <c r="P166" i="1" s="1"/>
  <c r="J164" i="1"/>
  <c r="J163" i="1"/>
  <c r="I156" i="1"/>
  <c r="N156" i="1" s="1"/>
  <c r="B145" i="1"/>
  <c r="D144" i="1"/>
  <c r="P143" i="1"/>
  <c r="D143" i="1" s="1"/>
  <c r="B143" i="1"/>
  <c r="D142" i="1"/>
  <c r="B142" i="1"/>
  <c r="D141" i="1"/>
  <c r="B141" i="1"/>
  <c r="P137" i="1" s="1"/>
  <c r="M147" i="1" s="1"/>
  <c r="N137" i="1"/>
  <c r="P135" i="1" s="1"/>
  <c r="J133" i="1"/>
  <c r="J132" i="1"/>
  <c r="I125" i="1"/>
  <c r="N125" i="1" s="1"/>
  <c r="B114" i="1"/>
  <c r="D113" i="1"/>
  <c r="P112" i="1"/>
  <c r="D112" i="1" s="1"/>
  <c r="B112" i="1"/>
  <c r="D111" i="1"/>
  <c r="D110" i="1"/>
  <c r="F111" i="1"/>
  <c r="N106" i="1"/>
  <c r="P103" i="1" s="1"/>
  <c r="J102" i="1"/>
  <c r="J101" i="1"/>
  <c r="I94" i="1"/>
  <c r="N94" i="1" s="1"/>
  <c r="D84" i="1"/>
  <c r="B83" i="1"/>
  <c r="P81" i="1"/>
  <c r="D81" i="1" s="1"/>
  <c r="D83" i="1" s="1"/>
  <c r="B81" i="1"/>
  <c r="N75" i="1"/>
  <c r="P72" i="1" s="1"/>
  <c r="J71" i="1"/>
  <c r="J70" i="1"/>
  <c r="I63" i="1"/>
  <c r="N63" i="1" s="1"/>
  <c r="H49" i="1"/>
  <c r="H6" i="2" s="1"/>
  <c r="M6" i="2" s="1"/>
  <c r="N44" i="1"/>
  <c r="P42" i="1" s="1"/>
  <c r="I32" i="1"/>
  <c r="N32" i="1" s="1"/>
  <c r="J364" i="1" l="1"/>
  <c r="H359" i="1"/>
  <c r="P227" i="1"/>
  <c r="P225" i="1"/>
  <c r="P226" i="1"/>
  <c r="D239" i="1"/>
  <c r="P258" i="1"/>
  <c r="P289" i="1"/>
  <c r="P287" i="1"/>
  <c r="P288" i="1"/>
  <c r="B299" i="1"/>
  <c r="I303" i="1" s="1"/>
  <c r="D300" i="1"/>
  <c r="B268" i="1"/>
  <c r="P256" i="1"/>
  <c r="P257" i="1"/>
  <c r="D270" i="1"/>
  <c r="D269" i="1"/>
  <c r="P194" i="1"/>
  <c r="P195" i="1"/>
  <c r="B237" i="1"/>
  <c r="I241" i="1" s="1"/>
  <c r="D238" i="1"/>
  <c r="B206" i="1"/>
  <c r="P197" i="1"/>
  <c r="D208" i="1"/>
  <c r="I210" i="1" s="1"/>
  <c r="D207" i="1"/>
  <c r="P101" i="1"/>
  <c r="P102" i="1"/>
  <c r="P165" i="1"/>
  <c r="P163" i="1"/>
  <c r="P164" i="1"/>
  <c r="D177" i="1"/>
  <c r="P104" i="1"/>
  <c r="P134" i="1"/>
  <c r="B175" i="1"/>
  <c r="P39" i="1"/>
  <c r="P43" i="1" s="1"/>
  <c r="P44" i="1" s="1"/>
  <c r="M54" i="1" s="1"/>
  <c r="D176" i="1"/>
  <c r="P41" i="1"/>
  <c r="P70" i="1"/>
  <c r="P74" i="1" s="1"/>
  <c r="P75" i="1" s="1"/>
  <c r="M85" i="1" s="1"/>
  <c r="P71" i="1"/>
  <c r="B144" i="1"/>
  <c r="D145" i="1"/>
  <c r="D146" i="1"/>
  <c r="I148" i="1" s="1"/>
  <c r="F142" i="1"/>
  <c r="P132" i="1"/>
  <c r="P133" i="1"/>
  <c r="D115" i="1"/>
  <c r="B113" i="1"/>
  <c r="D114" i="1"/>
  <c r="B82" i="1"/>
  <c r="P73" i="1"/>
  <c r="P40" i="1"/>
  <c r="J204" i="1" l="1"/>
  <c r="P229" i="1"/>
  <c r="P230" i="1" s="1"/>
  <c r="M240" i="1" s="1"/>
  <c r="P291" i="1"/>
  <c r="P292" i="1" s="1"/>
  <c r="M302" i="1" s="1"/>
  <c r="I272" i="1"/>
  <c r="P260" i="1"/>
  <c r="P261" i="1" s="1"/>
  <c r="M271" i="1" s="1"/>
  <c r="I86" i="1"/>
  <c r="H86" i="1" s="1"/>
  <c r="J297" i="1"/>
  <c r="H303" i="1"/>
  <c r="F303" i="1"/>
  <c r="D303" i="1"/>
  <c r="J296" i="1"/>
  <c r="I309" i="1"/>
  <c r="I307" i="1"/>
  <c r="I305" i="1"/>
  <c r="G303" i="1"/>
  <c r="E303" i="1"/>
  <c r="C303" i="1"/>
  <c r="P198" i="1"/>
  <c r="P199" i="1" s="1"/>
  <c r="M209" i="1" s="1"/>
  <c r="H272" i="1"/>
  <c r="F272" i="1"/>
  <c r="D272" i="1"/>
  <c r="G272" i="1"/>
  <c r="E272" i="1"/>
  <c r="C272" i="1"/>
  <c r="J265" i="1"/>
  <c r="J266" i="1"/>
  <c r="J235" i="1"/>
  <c r="H241" i="1"/>
  <c r="F241" i="1"/>
  <c r="D241" i="1"/>
  <c r="G241" i="1"/>
  <c r="E241" i="1"/>
  <c r="C241" i="1"/>
  <c r="J234" i="1"/>
  <c r="H210" i="1"/>
  <c r="F210" i="1"/>
  <c r="D210" i="1"/>
  <c r="J203" i="1"/>
  <c r="I216" i="1"/>
  <c r="G210" i="1"/>
  <c r="E210" i="1"/>
  <c r="C210" i="1"/>
  <c r="P105" i="1"/>
  <c r="P106" i="1" s="1"/>
  <c r="M116" i="1" s="1"/>
  <c r="I179" i="1"/>
  <c r="H179" i="1" s="1"/>
  <c r="J173" i="1"/>
  <c r="J111" i="1"/>
  <c r="I117" i="1"/>
  <c r="C117" i="1" s="1"/>
  <c r="J142" i="1"/>
  <c r="G148" i="1"/>
  <c r="E148" i="1"/>
  <c r="C148" i="1"/>
  <c r="J141" i="1"/>
  <c r="H148" i="1"/>
  <c r="F148" i="1"/>
  <c r="D148" i="1"/>
  <c r="J80" i="1"/>
  <c r="G117" i="1"/>
  <c r="F86" i="1"/>
  <c r="I91" i="1"/>
  <c r="G86" i="1"/>
  <c r="C86" i="1"/>
  <c r="B21" i="1"/>
  <c r="D20" i="1"/>
  <c r="P19" i="1"/>
  <c r="D19" i="1" s="1"/>
  <c r="B19" i="1"/>
  <c r="D18" i="1"/>
  <c r="B18" i="1"/>
  <c r="D17" i="1"/>
  <c r="D22" i="1" s="1"/>
  <c r="B17" i="1"/>
  <c r="N13" i="1"/>
  <c r="P10" i="1" s="1"/>
  <c r="J9" i="1"/>
  <c r="J8" i="1"/>
  <c r="I1" i="1"/>
  <c r="N1" i="1" s="1"/>
  <c r="F117" i="1" l="1"/>
  <c r="J110" i="1"/>
  <c r="I183" i="1"/>
  <c r="D179" i="1"/>
  <c r="I306" i="1"/>
  <c r="I308" i="1"/>
  <c r="I212" i="1"/>
  <c r="I244" i="1"/>
  <c r="J79" i="1"/>
  <c r="E86" i="1"/>
  <c r="E92" i="1" s="1"/>
  <c r="I89" i="1"/>
  <c r="D86" i="1"/>
  <c r="J86" i="1" s="1"/>
  <c r="D185" i="1"/>
  <c r="I121" i="1"/>
  <c r="G179" i="1"/>
  <c r="G185" i="1" s="1"/>
  <c r="I214" i="1"/>
  <c r="I246" i="1"/>
  <c r="D117" i="1"/>
  <c r="D122" i="1" s="1"/>
  <c r="H117" i="1"/>
  <c r="H123" i="1" s="1"/>
  <c r="E117" i="1"/>
  <c r="E122" i="1" s="1"/>
  <c r="I243" i="1"/>
  <c r="I245" i="1"/>
  <c r="I247" i="1"/>
  <c r="D183" i="1"/>
  <c r="E309" i="1"/>
  <c r="E308" i="1"/>
  <c r="E307" i="1"/>
  <c r="E306" i="1"/>
  <c r="E305" i="1"/>
  <c r="D309" i="1"/>
  <c r="D308" i="1"/>
  <c r="D307" i="1"/>
  <c r="D306" i="1"/>
  <c r="D305" i="1"/>
  <c r="H309" i="1"/>
  <c r="H308" i="1"/>
  <c r="H307" i="1"/>
  <c r="H306" i="1"/>
  <c r="H305" i="1"/>
  <c r="J303" i="1"/>
  <c r="C309" i="1"/>
  <c r="C308" i="1"/>
  <c r="C307" i="1"/>
  <c r="C306" i="1"/>
  <c r="C305" i="1"/>
  <c r="G309" i="1"/>
  <c r="G308" i="1"/>
  <c r="G307" i="1"/>
  <c r="G306" i="1"/>
  <c r="G305" i="1"/>
  <c r="F309" i="1"/>
  <c r="F308" i="1"/>
  <c r="F307" i="1"/>
  <c r="F306" i="1"/>
  <c r="F305" i="1"/>
  <c r="I119" i="1"/>
  <c r="I123" i="1"/>
  <c r="I182" i="1"/>
  <c r="I213" i="1"/>
  <c r="I215" i="1"/>
  <c r="E278" i="1"/>
  <c r="E277" i="1"/>
  <c r="E276" i="1"/>
  <c r="E275" i="1"/>
  <c r="E274" i="1"/>
  <c r="I274" i="1"/>
  <c r="I276" i="1"/>
  <c r="I278" i="1"/>
  <c r="F278" i="1"/>
  <c r="F277" i="1"/>
  <c r="F276" i="1"/>
  <c r="F275" i="1"/>
  <c r="F274" i="1"/>
  <c r="J272" i="1"/>
  <c r="C278" i="1"/>
  <c r="C277" i="1"/>
  <c r="C276" i="1"/>
  <c r="C275" i="1"/>
  <c r="C274" i="1"/>
  <c r="G278" i="1"/>
  <c r="G277" i="1"/>
  <c r="G276" i="1"/>
  <c r="G275" i="1"/>
  <c r="G274" i="1"/>
  <c r="I275" i="1"/>
  <c r="I277" i="1"/>
  <c r="D278" i="1"/>
  <c r="D277" i="1"/>
  <c r="D276" i="1"/>
  <c r="D275" i="1"/>
  <c r="D274" i="1"/>
  <c r="H265" i="1" s="1"/>
  <c r="H278" i="1"/>
  <c r="H277" i="1"/>
  <c r="H276" i="1"/>
  <c r="H275" i="1"/>
  <c r="H274" i="1"/>
  <c r="E247" i="1"/>
  <c r="E246" i="1"/>
  <c r="E245" i="1"/>
  <c r="E244" i="1"/>
  <c r="E243" i="1"/>
  <c r="J241" i="1"/>
  <c r="C247" i="1"/>
  <c r="C246" i="1"/>
  <c r="C245" i="1"/>
  <c r="C244" i="1"/>
  <c r="C243" i="1"/>
  <c r="G247" i="1"/>
  <c r="G246" i="1"/>
  <c r="G245" i="1"/>
  <c r="G244" i="1"/>
  <c r="G243" i="1"/>
  <c r="D247" i="1"/>
  <c r="D246" i="1"/>
  <c r="D245" i="1"/>
  <c r="D244" i="1"/>
  <c r="D243" i="1"/>
  <c r="H247" i="1"/>
  <c r="H246" i="1"/>
  <c r="H245" i="1"/>
  <c r="H244" i="1"/>
  <c r="H243" i="1"/>
  <c r="F247" i="1"/>
  <c r="F246" i="1"/>
  <c r="F245" i="1"/>
  <c r="F244" i="1"/>
  <c r="F243" i="1"/>
  <c r="E216" i="1"/>
  <c r="E215" i="1"/>
  <c r="E214" i="1"/>
  <c r="E213" i="1"/>
  <c r="E212" i="1"/>
  <c r="D216" i="1"/>
  <c r="D215" i="1"/>
  <c r="D214" i="1"/>
  <c r="D213" i="1"/>
  <c r="D212" i="1"/>
  <c r="H216" i="1"/>
  <c r="H215" i="1"/>
  <c r="H214" i="1"/>
  <c r="H213" i="1"/>
  <c r="H212" i="1"/>
  <c r="J210" i="1"/>
  <c r="C216" i="1"/>
  <c r="C215" i="1"/>
  <c r="C214" i="1"/>
  <c r="C213" i="1"/>
  <c r="C212" i="1"/>
  <c r="G216" i="1"/>
  <c r="G215" i="1"/>
  <c r="G214" i="1"/>
  <c r="G213" i="1"/>
  <c r="G212" i="1"/>
  <c r="F216" i="1"/>
  <c r="F215" i="1"/>
  <c r="F214" i="1"/>
  <c r="F213" i="1"/>
  <c r="F212" i="1"/>
  <c r="D181" i="1"/>
  <c r="G184" i="1"/>
  <c r="D184" i="1"/>
  <c r="E179" i="1"/>
  <c r="E182" i="1" s="1"/>
  <c r="H185" i="1"/>
  <c r="H182" i="1"/>
  <c r="H184" i="1"/>
  <c r="I120" i="1"/>
  <c r="I122" i="1"/>
  <c r="D182" i="1"/>
  <c r="I184" i="1"/>
  <c r="I185" i="1"/>
  <c r="I181" i="1"/>
  <c r="J172" i="1"/>
  <c r="C179" i="1"/>
  <c r="C182" i="1" s="1"/>
  <c r="F179" i="1"/>
  <c r="F182" i="1" s="1"/>
  <c r="I88" i="1"/>
  <c r="I90" i="1"/>
  <c r="I92" i="1"/>
  <c r="H181" i="1"/>
  <c r="H183" i="1"/>
  <c r="G183" i="1"/>
  <c r="I151" i="1"/>
  <c r="I153" i="1"/>
  <c r="D154" i="1"/>
  <c r="D153" i="1"/>
  <c r="D152" i="1"/>
  <c r="D151" i="1"/>
  <c r="D150" i="1"/>
  <c r="H154" i="1"/>
  <c r="H153" i="1"/>
  <c r="H152" i="1"/>
  <c r="H151" i="1"/>
  <c r="H150" i="1"/>
  <c r="C154" i="1"/>
  <c r="C153" i="1"/>
  <c r="C152" i="1"/>
  <c r="C151" i="1"/>
  <c r="C150" i="1"/>
  <c r="J148" i="1"/>
  <c r="G154" i="1"/>
  <c r="G153" i="1"/>
  <c r="G152" i="1"/>
  <c r="G151" i="1"/>
  <c r="G150" i="1"/>
  <c r="F154" i="1"/>
  <c r="F153" i="1"/>
  <c r="F152" i="1"/>
  <c r="F151" i="1"/>
  <c r="F150" i="1"/>
  <c r="E154" i="1"/>
  <c r="E153" i="1"/>
  <c r="E152" i="1"/>
  <c r="E151" i="1"/>
  <c r="E150" i="1"/>
  <c r="I150" i="1"/>
  <c r="I152" i="1"/>
  <c r="I154" i="1"/>
  <c r="F123" i="1"/>
  <c r="F122" i="1"/>
  <c r="F121" i="1"/>
  <c r="F120" i="1"/>
  <c r="F119" i="1"/>
  <c r="C123" i="1"/>
  <c r="C122" i="1"/>
  <c r="C121" i="1"/>
  <c r="C120" i="1"/>
  <c r="C119" i="1"/>
  <c r="G123" i="1"/>
  <c r="G122" i="1"/>
  <c r="G121" i="1"/>
  <c r="G120" i="1"/>
  <c r="G119" i="1"/>
  <c r="D123" i="1"/>
  <c r="D121" i="1"/>
  <c r="D119" i="1"/>
  <c r="E123" i="1"/>
  <c r="E121" i="1"/>
  <c r="E119" i="1"/>
  <c r="E89" i="1"/>
  <c r="F92" i="1"/>
  <c r="F91" i="1"/>
  <c r="F90" i="1"/>
  <c r="F89" i="1"/>
  <c r="F88" i="1"/>
  <c r="C92" i="1"/>
  <c r="C91" i="1"/>
  <c r="C90" i="1"/>
  <c r="C89" i="1"/>
  <c r="C88" i="1"/>
  <c r="G92" i="1"/>
  <c r="G91" i="1"/>
  <c r="G90" i="1"/>
  <c r="G89" i="1"/>
  <c r="G88" i="1"/>
  <c r="D92" i="1"/>
  <c r="D88" i="1"/>
  <c r="H79" i="1" s="1"/>
  <c r="H92" i="1"/>
  <c r="H91" i="1"/>
  <c r="H90" i="1"/>
  <c r="H89" i="1"/>
  <c r="H88" i="1"/>
  <c r="P8" i="1"/>
  <c r="P12" i="1" s="1"/>
  <c r="P13" i="1" s="1"/>
  <c r="M23" i="1" s="1"/>
  <c r="P9" i="1"/>
  <c r="F18" i="1"/>
  <c r="P11" i="1"/>
  <c r="B20" i="1"/>
  <c r="I24" i="1" s="1"/>
  <c r="D21" i="1"/>
  <c r="H122" i="1" l="1"/>
  <c r="J122" i="1" s="1"/>
  <c r="H120" i="1"/>
  <c r="J117" i="1"/>
  <c r="G181" i="1"/>
  <c r="E184" i="1"/>
  <c r="G182" i="1"/>
  <c r="D90" i="1"/>
  <c r="E91" i="1"/>
  <c r="H119" i="1"/>
  <c r="J119" i="1" s="1"/>
  <c r="H121" i="1"/>
  <c r="J121" i="1" s="1"/>
  <c r="D89" i="1"/>
  <c r="D91" i="1"/>
  <c r="J91" i="1" s="1"/>
  <c r="E88" i="1"/>
  <c r="E90" i="1"/>
  <c r="E120" i="1"/>
  <c r="D120" i="1"/>
  <c r="H110" i="1"/>
  <c r="H111" i="1" s="1"/>
  <c r="H8" i="2" s="1"/>
  <c r="M8" i="2" s="1"/>
  <c r="C184" i="1"/>
  <c r="J305" i="1"/>
  <c r="J307" i="1"/>
  <c r="J309" i="1"/>
  <c r="J306" i="1"/>
  <c r="J308" i="1"/>
  <c r="H296" i="1"/>
  <c r="J275" i="1"/>
  <c r="J277" i="1"/>
  <c r="H266" i="1"/>
  <c r="M14" i="2" s="1"/>
  <c r="J274" i="1"/>
  <c r="J276" i="1"/>
  <c r="J278" i="1"/>
  <c r="H234" i="1"/>
  <c r="J243" i="1"/>
  <c r="J245" i="1"/>
  <c r="J247" i="1"/>
  <c r="J244" i="1"/>
  <c r="J246" i="1"/>
  <c r="J213" i="1"/>
  <c r="J215" i="1"/>
  <c r="H203" i="1"/>
  <c r="J212" i="1"/>
  <c r="J214" i="1"/>
  <c r="J216" i="1"/>
  <c r="J182" i="1"/>
  <c r="E183" i="1"/>
  <c r="E185" i="1"/>
  <c r="E181" i="1"/>
  <c r="J179" i="1"/>
  <c r="C183" i="1"/>
  <c r="C185" i="1"/>
  <c r="C181" i="1"/>
  <c r="F184" i="1"/>
  <c r="F185" i="1"/>
  <c r="F181" i="1"/>
  <c r="H172" i="1" s="1"/>
  <c r="F183" i="1"/>
  <c r="J151" i="1"/>
  <c r="J153" i="1"/>
  <c r="J150" i="1"/>
  <c r="J152" i="1"/>
  <c r="J154" i="1"/>
  <c r="H141" i="1"/>
  <c r="J123" i="1"/>
  <c r="H80" i="1"/>
  <c r="H7" i="2" s="1"/>
  <c r="M7" i="2" s="1"/>
  <c r="J88" i="1"/>
  <c r="J90" i="1"/>
  <c r="J92" i="1"/>
  <c r="J89" i="1"/>
  <c r="H25" i="1"/>
  <c r="F25" i="1"/>
  <c r="D25" i="1"/>
  <c r="I25" i="1"/>
  <c r="J18" i="1" s="1"/>
  <c r="G25" i="1"/>
  <c r="E25" i="1"/>
  <c r="C25" i="1"/>
  <c r="J25" i="1" s="1"/>
  <c r="H24" i="1"/>
  <c r="F24" i="1"/>
  <c r="D24" i="1"/>
  <c r="G24" i="1"/>
  <c r="E24" i="1"/>
  <c r="C24" i="1"/>
  <c r="J17" i="1"/>
  <c r="J120" i="1" l="1"/>
  <c r="J184" i="1"/>
  <c r="J240" i="1"/>
  <c r="J271" i="1"/>
  <c r="J302" i="1"/>
  <c r="M15" i="2"/>
  <c r="H297" i="1"/>
  <c r="H235" i="1"/>
  <c r="M13" i="2" s="1"/>
  <c r="J209" i="1"/>
  <c r="H204" i="1"/>
  <c r="M12" i="2" s="1"/>
  <c r="J185" i="1"/>
  <c r="J183" i="1"/>
  <c r="J85" i="1"/>
  <c r="H173" i="1"/>
  <c r="H10" i="2" s="1"/>
  <c r="M10" i="2" s="1"/>
  <c r="J181" i="1"/>
  <c r="J147" i="1"/>
  <c r="H142" i="1"/>
  <c r="H9" i="2" s="1"/>
  <c r="M9" i="2" s="1"/>
  <c r="J116" i="1"/>
  <c r="I27" i="1"/>
  <c r="I29" i="1"/>
  <c r="I26" i="1"/>
  <c r="I28" i="1"/>
  <c r="I30" i="1"/>
  <c r="J24" i="1"/>
  <c r="J23" i="1" s="1"/>
  <c r="C30" i="1"/>
  <c r="J30" i="1" s="1"/>
  <c r="C29" i="1"/>
  <c r="J29" i="1" s="1"/>
  <c r="C28" i="1"/>
  <c r="J28" i="1" s="1"/>
  <c r="C27" i="1"/>
  <c r="J27" i="1" s="1"/>
  <c r="C26" i="1"/>
  <c r="J26" i="1" s="1"/>
  <c r="G30" i="1"/>
  <c r="G29" i="1"/>
  <c r="G28" i="1"/>
  <c r="G27" i="1"/>
  <c r="G26" i="1"/>
  <c r="D30" i="1"/>
  <c r="D29" i="1"/>
  <c r="D28" i="1"/>
  <c r="D27" i="1"/>
  <c r="D26" i="1"/>
  <c r="H30" i="1"/>
  <c r="H29" i="1"/>
  <c r="H28" i="1"/>
  <c r="H27" i="1"/>
  <c r="H26" i="1"/>
  <c r="E30" i="1"/>
  <c r="E29" i="1"/>
  <c r="E28" i="1"/>
  <c r="E27" i="1"/>
  <c r="E26" i="1"/>
  <c r="F30" i="1"/>
  <c r="F29" i="1"/>
  <c r="F28" i="1"/>
  <c r="F27" i="1"/>
  <c r="F26" i="1"/>
  <c r="J178" i="1" l="1"/>
  <c r="H17" i="1"/>
  <c r="H18" i="1" l="1"/>
</calcChain>
</file>

<file path=xl/sharedStrings.xml><?xml version="1.0" encoding="utf-8"?>
<sst xmlns="http://schemas.openxmlformats.org/spreadsheetml/2006/main" count="1983" uniqueCount="218">
  <si>
    <t>РПО 2017</t>
  </si>
  <si>
    <t xml:space="preserve">      СВИДЕТЕЛЬСТВО    №</t>
  </si>
  <si>
    <t xml:space="preserve">  Стр.1</t>
  </si>
  <si>
    <t>СВИДЕТЕЛЬСТВО  №</t>
  </si>
  <si>
    <t>Протокол обмера</t>
  </si>
  <si>
    <t>Стр.2</t>
  </si>
  <si>
    <t>Класс</t>
  </si>
  <si>
    <t xml:space="preserve">      Измерения в метрах и килограммах</t>
  </si>
  <si>
    <t>Корпус</t>
  </si>
  <si>
    <t>Постоянные грузы</t>
  </si>
  <si>
    <t>RUS</t>
  </si>
  <si>
    <t xml:space="preserve">      Тип и стр. №</t>
  </si>
  <si>
    <t>DSPL</t>
  </si>
  <si>
    <t>Балласт</t>
  </si>
  <si>
    <t>Якоря</t>
  </si>
  <si>
    <t xml:space="preserve">      Конструктор</t>
  </si>
  <si>
    <t>LOA</t>
  </si>
  <si>
    <t>BMAX</t>
  </si>
  <si>
    <t>Двигатель</t>
  </si>
  <si>
    <t>Инст. и ЗИП</t>
  </si>
  <si>
    <t>Подтверждаю,что понимаю</t>
  </si>
  <si>
    <t>Подтверждаю</t>
  </si>
  <si>
    <t xml:space="preserve">      Строитель</t>
  </si>
  <si>
    <t>FGO</t>
  </si>
  <si>
    <t>TWLлев</t>
  </si>
  <si>
    <t>Топл.бак</t>
  </si>
  <si>
    <t>Газ. баллон</t>
  </si>
  <si>
    <t>ответственность, налагаемую</t>
  </si>
  <si>
    <r>
      <t>Представитель</t>
    </r>
    <r>
      <rPr>
        <b/>
        <sz val="10"/>
        <rFont val="Arial Cyr"/>
        <charset val="204"/>
      </rPr>
      <t xml:space="preserve"> ТК</t>
    </r>
  </si>
  <si>
    <t>Дата вооружения</t>
  </si>
  <si>
    <t>AGO</t>
  </si>
  <si>
    <t>TWLправ</t>
  </si>
  <si>
    <t>Аккумул.</t>
  </si>
  <si>
    <t>Водяные емк</t>
  </si>
  <si>
    <t>правилами РПО</t>
  </si>
  <si>
    <t>Фамилия</t>
  </si>
  <si>
    <t xml:space="preserve">      Киль</t>
  </si>
  <si>
    <t>Результаты кренования</t>
  </si>
  <si>
    <t xml:space="preserve">      Винт</t>
  </si>
  <si>
    <t>W1</t>
  </si>
  <si>
    <t>PD1</t>
  </si>
  <si>
    <t>RM1</t>
  </si>
  <si>
    <t xml:space="preserve">      Установка</t>
  </si>
  <si>
    <t>W2</t>
  </si>
  <si>
    <t>PD2</t>
  </si>
  <si>
    <t>RM2</t>
  </si>
  <si>
    <t>Срок действия</t>
  </si>
  <si>
    <t>W3</t>
  </si>
  <si>
    <t>PD3</t>
  </si>
  <si>
    <t>RM3</t>
  </si>
  <si>
    <t>W4</t>
  </si>
  <si>
    <t>PD4</t>
  </si>
  <si>
    <t>RM4</t>
  </si>
  <si>
    <t>Владелец</t>
  </si>
  <si>
    <t>WD</t>
  </si>
  <si>
    <t>PLM</t>
  </si>
  <si>
    <t>RM</t>
  </si>
  <si>
    <t>GSA</t>
  </si>
  <si>
    <t>PL</t>
  </si>
  <si>
    <t>SV</t>
  </si>
  <si>
    <t>RSA</t>
  </si>
  <si>
    <t>Дата обмера на плаву</t>
  </si>
  <si>
    <t>Расчетные значения</t>
  </si>
  <si>
    <t>Паруса</t>
  </si>
  <si>
    <t xml:space="preserve">    Корпус</t>
  </si>
  <si>
    <t>Площадь парусов</t>
  </si>
  <si>
    <t>Площадь смоченной        поверхности корпуса</t>
  </si>
  <si>
    <t>SQ</t>
  </si>
  <si>
    <t>Грот</t>
  </si>
  <si>
    <t>Стаксель</t>
  </si>
  <si>
    <t>Спинакер</t>
  </si>
  <si>
    <t>Генакер</t>
  </si>
  <si>
    <t>LWL</t>
  </si>
  <si>
    <t>Sгр</t>
  </si>
  <si>
    <t>GPH</t>
  </si>
  <si>
    <t>VMGлав</t>
  </si>
  <si>
    <t>P</t>
  </si>
  <si>
    <t>JL</t>
  </si>
  <si>
    <t>SL</t>
  </si>
  <si>
    <t>SLU</t>
  </si>
  <si>
    <t>BWL</t>
  </si>
  <si>
    <t>Sст</t>
  </si>
  <si>
    <t>Ώсмоч</t>
  </si>
  <si>
    <t>VMG</t>
  </si>
  <si>
    <t>VMGпол</t>
  </si>
  <si>
    <t>E</t>
  </si>
  <si>
    <t>LPG</t>
  </si>
  <si>
    <t>SMG</t>
  </si>
  <si>
    <t>SLE</t>
  </si>
  <si>
    <t>КПВ</t>
  </si>
  <si>
    <t>Sсп</t>
  </si>
  <si>
    <t>HB</t>
  </si>
  <si>
    <t>SF</t>
  </si>
  <si>
    <t>ASF</t>
  </si>
  <si>
    <t>EPF</t>
  </si>
  <si>
    <t>Sгн</t>
  </si>
  <si>
    <t>MGU</t>
  </si>
  <si>
    <t>AMG</t>
  </si>
  <si>
    <t>КВЧ</t>
  </si>
  <si>
    <t>Sпол</t>
  </si>
  <si>
    <t>MGM</t>
  </si>
  <si>
    <t>Sлав</t>
  </si>
  <si>
    <t>Скорость ветра в узлах</t>
  </si>
  <si>
    <t>VMGсред</t>
  </si>
  <si>
    <t>Тип дистанции</t>
  </si>
  <si>
    <t>Предупреждение</t>
  </si>
  <si>
    <t>№1  100% лавировки</t>
  </si>
  <si>
    <t>Меритель</t>
  </si>
  <si>
    <t>№2     без лавировки</t>
  </si>
  <si>
    <t>Дата обмера</t>
  </si>
  <si>
    <t>№3    50% лавировки</t>
  </si>
  <si>
    <t>Дата расчета</t>
  </si>
  <si>
    <t>№4    85% лавировки</t>
  </si>
  <si>
    <t>Подпись</t>
  </si>
  <si>
    <t>№5    75% лавировки</t>
  </si>
  <si>
    <t>№6    25% лавировки</t>
  </si>
  <si>
    <t>№7    15% лавировки</t>
  </si>
  <si>
    <t>Нижний Новгород</t>
  </si>
  <si>
    <t>ФЛАМИНГО</t>
  </si>
  <si>
    <t>О-800</t>
  </si>
  <si>
    <t>М.Тихонов</t>
  </si>
  <si>
    <t>Raketa-Yachts</t>
  </si>
  <si>
    <t>Постоянный</t>
  </si>
  <si>
    <t>подвесной мотор</t>
  </si>
  <si>
    <t>EK-MARINE</t>
  </si>
  <si>
    <t>First-27,7</t>
  </si>
  <si>
    <t>Finat</t>
  </si>
  <si>
    <t>Benetiau</t>
  </si>
  <si>
    <t>Шверт</t>
  </si>
  <si>
    <t>складной</t>
  </si>
  <si>
    <t>привод в кронштейне</t>
  </si>
  <si>
    <t>Кайнов А.Б.</t>
  </si>
  <si>
    <t>603070, Н.Новгород, ул. Акимова, 13-57, тел.8-910-790-57-77</t>
  </si>
  <si>
    <t>Д.В. Худяков</t>
  </si>
  <si>
    <t>ОПЕН-800</t>
  </si>
  <si>
    <t>постоянный</t>
  </si>
  <si>
    <t>КРЕДО</t>
  </si>
  <si>
    <t>Картер-30</t>
  </si>
  <si>
    <t>Д. Картер</t>
  </si>
  <si>
    <t>Верфь им. Л. Телиги. ПНР</t>
  </si>
  <si>
    <t>№11 В.И. Михалев</t>
  </si>
  <si>
    <t>ТЭВСС</t>
  </si>
  <si>
    <t>Подвесной мотор</t>
  </si>
  <si>
    <t>Стажер-меритель Е.А. Алексашин</t>
  </si>
  <si>
    <t>АККОРД</t>
  </si>
  <si>
    <t>Конрад 25Р № 134</t>
  </si>
  <si>
    <t>нет</t>
  </si>
  <si>
    <t>Д. Петерсон</t>
  </si>
  <si>
    <t>Верфь им. Д. Конрада</t>
  </si>
  <si>
    <t>Акользин П.Н.</t>
  </si>
  <si>
    <t>Н.Новгород, Щербинки-1, 1-4</t>
  </si>
  <si>
    <t>№215 Ю.И. Горбатов</t>
  </si>
  <si>
    <t>МИР</t>
  </si>
  <si>
    <t>Конрад-25РТ № 244</t>
  </si>
  <si>
    <t>Д.Петерсон</t>
  </si>
  <si>
    <t>Верфь им. Конрада</t>
  </si>
  <si>
    <t xml:space="preserve">Володина А.В. </t>
  </si>
  <si>
    <t>Н.Новгород, 6-микрорайон, 17-33</t>
  </si>
  <si>
    <t>АСТРА</t>
  </si>
  <si>
    <t>Конрад-25РТ №</t>
  </si>
  <si>
    <t>Бабиченко А.</t>
  </si>
  <si>
    <t>Н.Новгород</t>
  </si>
  <si>
    <t>СИЛУЭТ</t>
  </si>
  <si>
    <t xml:space="preserve"> Д.В. Худяков</t>
  </si>
  <si>
    <t>01,05,2017</t>
  </si>
  <si>
    <t>СКИФ</t>
  </si>
  <si>
    <t>Опен-800 №</t>
  </si>
  <si>
    <t>СВЕТЛОЯР</t>
  </si>
  <si>
    <t>1/4 т</t>
  </si>
  <si>
    <t>А.В. Тетсманн</t>
  </si>
  <si>
    <t>Д.В.Худяков</t>
  </si>
  <si>
    <t>№ пп</t>
  </si>
  <si>
    <t>Название</t>
  </si>
  <si>
    <t>Рег. Номер</t>
  </si>
  <si>
    <t>Vтеор(уз)</t>
  </si>
  <si>
    <t>Тип яхты</t>
  </si>
  <si>
    <t>Сист. Обмера</t>
  </si>
  <si>
    <t>дист. D=</t>
  </si>
  <si>
    <t>Старт</t>
  </si>
  <si>
    <t>Финиш</t>
  </si>
  <si>
    <t>ЕТ</t>
  </si>
  <si>
    <t>Vфакт</t>
  </si>
  <si>
    <t>НГ</t>
  </si>
  <si>
    <t>Место</t>
  </si>
  <si>
    <t>GP-26</t>
  </si>
  <si>
    <t>Правила класса</t>
  </si>
  <si>
    <t>ORC</t>
  </si>
  <si>
    <t>РПО</t>
  </si>
  <si>
    <t>Прототип</t>
  </si>
  <si>
    <t>IOR</t>
  </si>
  <si>
    <t>RS-2000</t>
  </si>
  <si>
    <t>Конрад-25РТ</t>
  </si>
  <si>
    <t>Конрад 25Р</t>
  </si>
  <si>
    <t>1/4 ТЭВСС</t>
  </si>
  <si>
    <t>АФРИКА</t>
  </si>
  <si>
    <t>ОКА</t>
  </si>
  <si>
    <t>OPTY-71</t>
  </si>
  <si>
    <t>25 футов</t>
  </si>
  <si>
    <t>24 фута</t>
  </si>
  <si>
    <t>Опти-71</t>
  </si>
  <si>
    <t>Армински</t>
  </si>
  <si>
    <t>Верфь им. Телиги ПНР</t>
  </si>
  <si>
    <t>DNS</t>
  </si>
  <si>
    <t>Гонка №1</t>
  </si>
  <si>
    <t>Гонка №2</t>
  </si>
  <si>
    <t>Гонка №3</t>
  </si>
  <si>
    <t>Гонка №4</t>
  </si>
  <si>
    <t>Гонка №5</t>
  </si>
  <si>
    <t>33 фута</t>
  </si>
  <si>
    <t>очки</t>
  </si>
  <si>
    <t>место</t>
  </si>
  <si>
    <t>общиие</t>
  </si>
  <si>
    <t>общее</t>
  </si>
  <si>
    <t>36 футов</t>
  </si>
  <si>
    <t>29 футов</t>
  </si>
  <si>
    <t>приход</t>
  </si>
  <si>
    <t>ФУТ(а:ов)</t>
  </si>
  <si>
    <t>ФУТ(А или 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</si>
</sst>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₽_-;\-* #,##0.00\ _₽_-;_-* &quot;-&quot;??\ _₽_-;_-@_-"/>
    <numFmt numFmtId="164" formatCode="0.0000"/>
    <numFmt numFmtId="165" formatCode="0.000"/>
    <numFmt numFmtId="166" formatCode="0.0"/>
    <numFmt numFmtId="167" formatCode="0.00000"/>
    <numFmt numFmtId="168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sz val="10"/>
      <color indexed="8"/>
      <name val="Tahoma"/>
      <family val="2"/>
      <charset val="204"/>
    </font>
    <font>
      <b/>
      <sz val="8"/>
      <name val="Arial Cyr"/>
      <charset val="204"/>
    </font>
    <font>
      <sz val="9"/>
      <name val="Arial Cyr"/>
      <charset val="204"/>
    </font>
    <font>
      <sz val="12"/>
      <name val="Arial Cyr"/>
      <charset val="204"/>
    </font>
    <font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1">
    <xf numFmtId="0" fontId="0" fillId="0" borderId="0" xfId="0"/>
    <xf numFmtId="0" fontId="2" fillId="2" borderId="5" xfId="0" applyNumberFormat="1" applyFont="1" applyFill="1" applyBorder="1" applyAlignment="1" applyProtection="1">
      <alignment vertical="center"/>
      <protection hidden="1"/>
    </xf>
    <xf numFmtId="0" fontId="2" fillId="0" borderId="6" xfId="0" applyFont="1" applyFill="1" applyBorder="1" applyAlignment="1" applyProtection="1">
      <alignment horizontal="center" vertical="center" shrinkToFit="1"/>
      <protection hidden="1"/>
    </xf>
    <xf numFmtId="0" fontId="2" fillId="0" borderId="6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NumberFormat="1" applyFont="1" applyFill="1" applyBorder="1" applyAlignment="1" applyProtection="1">
      <alignment horizontal="left" vertical="center"/>
      <protection hidden="1"/>
    </xf>
    <xf numFmtId="0" fontId="3" fillId="0" borderId="16" xfId="0" applyFont="1" applyFill="1" applyBorder="1" applyAlignment="1" applyProtection="1">
      <alignment horizontal="center" vertical="center"/>
      <protection hidden="1"/>
    </xf>
    <xf numFmtId="0" fontId="4" fillId="2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top" wrapText="1"/>
      <protection hidden="1"/>
    </xf>
    <xf numFmtId="0" fontId="2" fillId="0" borderId="16" xfId="0" applyFont="1" applyFill="1" applyBorder="1" applyAlignment="1" applyProtection="1">
      <alignment horizontal="left" vertical="center"/>
      <protection hidden="1"/>
    </xf>
    <xf numFmtId="0" fontId="2" fillId="0" borderId="17" xfId="0" applyFont="1" applyFill="1" applyBorder="1" applyAlignment="1" applyProtection="1">
      <alignment horizontal="left" vertical="center"/>
      <protection hidden="1"/>
    </xf>
    <xf numFmtId="165" fontId="3" fillId="0" borderId="16" xfId="0" applyNumberFormat="1" applyFont="1" applyFill="1" applyBorder="1" applyAlignment="1" applyProtection="1">
      <alignment horizontal="right" vertical="center"/>
      <protection hidden="1"/>
    </xf>
    <xf numFmtId="3" fontId="2" fillId="5" borderId="17" xfId="0" applyNumberFormat="1" applyFont="1" applyFill="1" applyBorder="1" applyAlignment="1" applyProtection="1">
      <alignment horizontal="center" vertical="center"/>
      <protection hidden="1"/>
    </xf>
    <xf numFmtId="164" fontId="0" fillId="0" borderId="13" xfId="0" applyNumberFormat="1" applyFont="1" applyFill="1" applyBorder="1" applyAlignment="1" applyProtection="1">
      <alignment vertical="center"/>
      <protection hidden="1"/>
    </xf>
    <xf numFmtId="1" fontId="0" fillId="2" borderId="17" xfId="0" applyNumberFormat="1" applyFont="1" applyFill="1" applyBorder="1" applyAlignment="1" applyProtection="1">
      <alignment horizontal="center" vertical="center"/>
      <protection hidden="1"/>
    </xf>
    <xf numFmtId="1" fontId="0" fillId="0" borderId="17" xfId="0" applyNumberFormat="1" applyFont="1" applyFill="1" applyBorder="1" applyAlignment="1" applyProtection="1">
      <alignment horizontal="center" vertical="center"/>
      <protection hidden="1"/>
    </xf>
    <xf numFmtId="1" fontId="0" fillId="2" borderId="18" xfId="0" applyNumberFormat="1" applyFont="1" applyFill="1" applyBorder="1" applyAlignment="1" applyProtection="1">
      <alignment horizontal="center" vertical="center"/>
      <protection hidden="1"/>
    </xf>
    <xf numFmtId="0" fontId="3" fillId="0" borderId="17" xfId="0" applyFont="1" applyFill="1" applyBorder="1" applyAlignment="1" applyProtection="1">
      <alignment horizontal="right" vertical="center"/>
      <protection hidden="1"/>
    </xf>
    <xf numFmtId="165" fontId="2" fillId="2" borderId="17" xfId="0" applyNumberFormat="1" applyFont="1" applyFill="1" applyBorder="1" applyAlignment="1" applyProtection="1">
      <alignment horizontal="center" vertical="center"/>
      <protection hidden="1"/>
    </xf>
    <xf numFmtId="165" fontId="3" fillId="0" borderId="17" xfId="0" applyNumberFormat="1" applyFont="1" applyFill="1" applyBorder="1" applyAlignment="1" applyProtection="1">
      <alignment horizontal="right" vertical="center"/>
      <protection hidden="1"/>
    </xf>
    <xf numFmtId="165" fontId="2" fillId="2" borderId="18" xfId="0" applyNumberFormat="1" applyFont="1" applyFill="1" applyBorder="1" applyAlignment="1">
      <alignment horizontal="center" vertical="center"/>
    </xf>
    <xf numFmtId="1" fontId="0" fillId="0" borderId="13" xfId="0" applyNumberFormat="1" applyFont="1" applyFill="1" applyBorder="1" applyAlignment="1" applyProtection="1">
      <alignment horizontal="left" vertical="center"/>
      <protection locked="0"/>
    </xf>
    <xf numFmtId="1" fontId="0" fillId="2" borderId="17" xfId="0" applyNumberFormat="1" applyFont="1" applyFill="1" applyBorder="1" applyAlignment="1" applyProtection="1">
      <alignment horizontal="center" vertical="center"/>
      <protection locked="0"/>
    </xf>
    <xf numFmtId="1" fontId="2" fillId="0" borderId="17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ont="1" applyFill="1" applyBorder="1" applyAlignment="1" applyProtection="1">
      <alignment horizontal="center" vertical="center"/>
      <protection locked="0"/>
    </xf>
    <xf numFmtId="165" fontId="3" fillId="0" borderId="19" xfId="0" applyNumberFormat="1" applyFont="1" applyFill="1" applyBorder="1" applyAlignment="1" applyProtection="1">
      <alignment horizontal="right" vertical="center"/>
      <protection hidden="1"/>
    </xf>
    <xf numFmtId="165" fontId="3" fillId="0" borderId="20" xfId="0" applyNumberFormat="1" applyFont="1" applyFill="1" applyBorder="1" applyAlignment="1" applyProtection="1">
      <alignment horizontal="right" vertical="center"/>
      <protection hidden="1"/>
    </xf>
    <xf numFmtId="1" fontId="0" fillId="0" borderId="21" xfId="0" applyNumberFormat="1" applyFont="1" applyFill="1" applyBorder="1" applyAlignment="1" applyProtection="1">
      <alignment horizontal="left" vertical="center"/>
      <protection locked="0"/>
    </xf>
    <xf numFmtId="1" fontId="0" fillId="2" borderId="20" xfId="0" applyNumberFormat="1" applyFont="1" applyFill="1" applyBorder="1" applyAlignment="1" applyProtection="1">
      <alignment horizontal="center" vertical="center"/>
      <protection locked="0"/>
    </xf>
    <xf numFmtId="165" fontId="2" fillId="0" borderId="20" xfId="0" applyNumberFormat="1" applyFont="1" applyFill="1" applyBorder="1" applyAlignment="1" applyProtection="1">
      <alignment vertical="center"/>
      <protection locked="0"/>
    </xf>
    <xf numFmtId="1" fontId="0" fillId="2" borderId="22" xfId="0" applyNumberFormat="1" applyFont="1" applyFill="1" applyBorder="1" applyAlignment="1" applyProtection="1">
      <alignment horizontal="center" vertical="center"/>
      <protection locked="0"/>
    </xf>
    <xf numFmtId="165" fontId="2" fillId="4" borderId="14" xfId="0" applyNumberFormat="1" applyFont="1" applyFill="1" applyBorder="1" applyAlignment="1" applyProtection="1">
      <alignment horizontal="center" vertical="center"/>
      <protection hidden="1"/>
    </xf>
    <xf numFmtId="165" fontId="3" fillId="0" borderId="16" xfId="0" applyNumberFormat="1" applyFont="1" applyFill="1" applyBorder="1" applyAlignment="1">
      <alignment horizontal="right" vertical="center"/>
    </xf>
    <xf numFmtId="166" fontId="2" fillId="2" borderId="17" xfId="0" applyNumberFormat="1" applyFont="1" applyFill="1" applyBorder="1" applyAlignment="1" applyProtection="1">
      <alignment horizontal="center" vertical="center"/>
      <protection locked="0"/>
    </xf>
    <xf numFmtId="165" fontId="3" fillId="0" borderId="17" xfId="0" applyNumberFormat="1" applyFont="1" applyFill="1" applyBorder="1" applyAlignment="1">
      <alignment horizontal="right" vertical="center"/>
    </xf>
    <xf numFmtId="165" fontId="2" fillId="2" borderId="17" xfId="0" applyNumberFormat="1" applyFont="1" applyFill="1" applyBorder="1" applyAlignment="1" applyProtection="1">
      <alignment horizontal="center" vertical="center"/>
      <protection locked="0"/>
    </xf>
    <xf numFmtId="165" fontId="2" fillId="4" borderId="17" xfId="0" applyNumberFormat="1" applyFont="1" applyFill="1" applyBorder="1" applyAlignment="1" applyProtection="1">
      <alignment horizontal="center" vertical="center"/>
      <protection hidden="1"/>
    </xf>
    <xf numFmtId="0" fontId="2" fillId="0" borderId="31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165" fontId="3" fillId="0" borderId="32" xfId="0" applyNumberFormat="1" applyFont="1" applyFill="1" applyBorder="1" applyAlignment="1">
      <alignment horizontal="right" vertical="center"/>
    </xf>
    <xf numFmtId="0" fontId="2" fillId="0" borderId="29" xfId="0" applyFont="1" applyFill="1" applyBorder="1" applyAlignment="1" applyProtection="1">
      <alignment vertical="center"/>
      <protection hidden="1"/>
    </xf>
    <xf numFmtId="166" fontId="2" fillId="2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34" xfId="0" applyFont="1" applyFill="1" applyBorder="1" applyAlignment="1" applyProtection="1">
      <alignment vertical="center"/>
      <protection hidden="1"/>
    </xf>
    <xf numFmtId="0" fontId="2" fillId="0" borderId="35" xfId="0" applyFont="1" applyFill="1" applyBorder="1" applyAlignment="1" applyProtection="1">
      <alignment vertical="center"/>
      <protection hidden="1"/>
    </xf>
    <xf numFmtId="165" fontId="2" fillId="2" borderId="13" xfId="0" applyNumberFormat="1" applyFont="1" applyFill="1" applyBorder="1" applyAlignment="1" applyProtection="1">
      <alignment horizontal="center" vertical="center"/>
      <protection locked="0"/>
    </xf>
    <xf numFmtId="165" fontId="2" fillId="6" borderId="17" xfId="0" applyNumberFormat="1" applyFont="1" applyFill="1" applyBorder="1" applyAlignment="1" applyProtection="1">
      <alignment horizontal="center" vertical="center"/>
      <protection hidden="1"/>
    </xf>
    <xf numFmtId="165" fontId="3" fillId="0" borderId="36" xfId="0" applyNumberFormat="1" applyFont="1" applyFill="1" applyBorder="1" applyAlignment="1">
      <alignment horizontal="right" vertical="center"/>
    </xf>
    <xf numFmtId="165" fontId="2" fillId="4" borderId="17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right" vertical="center"/>
    </xf>
    <xf numFmtId="165" fontId="0" fillId="4" borderId="17" xfId="0" applyNumberFormat="1" applyFont="1" applyFill="1" applyBorder="1" applyAlignment="1">
      <alignment vertical="center"/>
    </xf>
    <xf numFmtId="165" fontId="3" fillId="0" borderId="19" xfId="0" applyNumberFormat="1" applyFont="1" applyFill="1" applyBorder="1" applyAlignment="1">
      <alignment horizontal="right" vertical="center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164" fontId="3" fillId="0" borderId="17" xfId="0" applyNumberFormat="1" applyFont="1" applyFill="1" applyBorder="1" applyAlignment="1" applyProtection="1">
      <alignment horizontal="right" vertical="center"/>
      <protection hidden="1"/>
    </xf>
    <xf numFmtId="2" fontId="2" fillId="4" borderId="17" xfId="0" applyNumberFormat="1" applyFont="1" applyFill="1" applyBorder="1" applyAlignment="1" applyProtection="1">
      <alignment horizontal="center" vertical="center"/>
      <protection hidden="1"/>
    </xf>
    <xf numFmtId="167" fontId="3" fillId="0" borderId="17" xfId="0" applyNumberFormat="1" applyFont="1" applyFill="1" applyBorder="1" applyAlignment="1" applyProtection="1">
      <alignment horizontal="center" vertical="center"/>
      <protection hidden="1"/>
    </xf>
    <xf numFmtId="166" fontId="0" fillId="4" borderId="17" xfId="0" applyNumberFormat="1" applyFont="1" applyFill="1" applyBorder="1" applyAlignment="1" applyProtection="1">
      <alignment horizontal="center" vertical="center"/>
      <protection hidden="1"/>
    </xf>
    <xf numFmtId="0" fontId="3" fillId="0" borderId="17" xfId="0" applyFont="1" applyFill="1" applyBorder="1" applyAlignment="1" applyProtection="1">
      <alignment horizontal="center" vertical="center"/>
      <protection hidden="1"/>
    </xf>
    <xf numFmtId="164" fontId="2" fillId="4" borderId="18" xfId="0" applyNumberFormat="1" applyFont="1" applyFill="1" applyBorder="1" applyAlignment="1" applyProtection="1">
      <alignment horizontal="center" vertical="center"/>
      <protection hidden="1"/>
    </xf>
    <xf numFmtId="2" fontId="2" fillId="3" borderId="17" xfId="0" applyNumberFormat="1" applyFont="1" applyFill="1" applyBorder="1" applyAlignment="1" applyProtection="1">
      <alignment horizontal="center" vertical="center"/>
      <protection hidden="1"/>
    </xf>
    <xf numFmtId="168" fontId="2" fillId="3" borderId="17" xfId="1" applyNumberFormat="1" applyFont="1" applyFill="1" applyBorder="1" applyAlignment="1" applyProtection="1">
      <alignment horizontal="center" vertical="center"/>
      <protection hidden="1"/>
    </xf>
    <xf numFmtId="2" fontId="2" fillId="3" borderId="18" xfId="0" applyNumberFormat="1" applyFont="1" applyFill="1" applyBorder="1" applyAlignment="1" applyProtection="1">
      <alignment horizontal="center" vertical="center"/>
      <protection hidden="1"/>
    </xf>
    <xf numFmtId="165" fontId="3" fillId="0" borderId="17" xfId="0" applyNumberFormat="1" applyFont="1" applyFill="1" applyBorder="1" applyAlignment="1" applyProtection="1">
      <alignment vertical="center"/>
      <protection hidden="1"/>
    </xf>
    <xf numFmtId="165" fontId="0" fillId="4" borderId="17" xfId="0" applyNumberFormat="1" applyFont="1" applyFill="1" applyBorder="1" applyAlignment="1" applyProtection="1">
      <alignment horizontal="center" vertical="center"/>
      <protection hidden="1"/>
    </xf>
    <xf numFmtId="165" fontId="3" fillId="0" borderId="17" xfId="0" applyNumberFormat="1" applyFont="1" applyFill="1" applyBorder="1" applyAlignment="1" applyProtection="1">
      <alignment horizontal="center" vertical="center"/>
      <protection hidden="1"/>
    </xf>
    <xf numFmtId="164" fontId="0" fillId="4" borderId="17" xfId="0" applyNumberFormat="1" applyFont="1" applyFill="1" applyBorder="1" applyAlignment="1" applyProtection="1">
      <alignment horizontal="center" vertical="center"/>
      <protection hidden="1"/>
    </xf>
    <xf numFmtId="164" fontId="3" fillId="0" borderId="17" xfId="0" applyNumberFormat="1" applyFont="1" applyFill="1" applyBorder="1" applyAlignment="1" applyProtection="1">
      <alignment horizontal="center" vertical="center"/>
      <protection hidden="1"/>
    </xf>
    <xf numFmtId="165" fontId="3" fillId="0" borderId="32" xfId="0" applyNumberFormat="1" applyFont="1" applyFill="1" applyBorder="1" applyAlignment="1" applyProtection="1">
      <alignment horizontal="right" vertical="center"/>
      <protection hidden="1"/>
    </xf>
    <xf numFmtId="0" fontId="3" fillId="0" borderId="16" xfId="0" applyFont="1" applyFill="1" applyBorder="1" applyAlignment="1" applyProtection="1">
      <alignment horizontal="right" vertical="center"/>
      <protection hidden="1"/>
    </xf>
    <xf numFmtId="165" fontId="3" fillId="4" borderId="17" xfId="0" applyNumberFormat="1" applyFont="1" applyFill="1" applyBorder="1" applyAlignment="1" applyProtection="1">
      <alignment horizontal="center" vertical="center"/>
      <protection hidden="1"/>
    </xf>
    <xf numFmtId="165" fontId="0" fillId="0" borderId="23" xfId="0" applyNumberFormat="1" applyFont="1" applyFill="1" applyBorder="1" applyAlignment="1" applyProtection="1">
      <alignment vertical="center"/>
      <protection hidden="1"/>
    </xf>
    <xf numFmtId="165" fontId="0" fillId="0" borderId="0" xfId="0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Fill="1" applyBorder="1" applyAlignment="1" applyProtection="1">
      <alignment horizontal="center" vertical="center"/>
      <protection hidden="1"/>
    </xf>
    <xf numFmtId="165" fontId="0" fillId="0" borderId="40" xfId="0" applyNumberFormat="1" applyFont="1" applyFill="1" applyBorder="1" applyAlignment="1" applyProtection="1">
      <alignment vertical="center"/>
      <protection hidden="1"/>
    </xf>
    <xf numFmtId="165" fontId="2" fillId="3" borderId="13" xfId="0" applyNumberFormat="1" applyFont="1" applyFill="1" applyBorder="1" applyAlignment="1" applyProtection="1">
      <alignment horizontal="center" vertical="center"/>
      <protection hidden="1"/>
    </xf>
    <xf numFmtId="2" fontId="2" fillId="2" borderId="17" xfId="0" applyNumberFormat="1" applyFont="1" applyFill="1" applyBorder="1" applyAlignment="1" applyProtection="1">
      <alignment horizontal="center" vertical="center"/>
      <protection hidden="1"/>
    </xf>
    <xf numFmtId="165" fontId="3" fillId="0" borderId="0" xfId="0" applyNumberFormat="1" applyFont="1" applyFill="1" applyBorder="1" applyAlignment="1" applyProtection="1">
      <alignment vertical="center"/>
      <protection hidden="1"/>
    </xf>
    <xf numFmtId="2" fontId="2" fillId="3" borderId="13" xfId="0" applyNumberFormat="1" applyFont="1" applyFill="1" applyBorder="1" applyAlignment="1" applyProtection="1">
      <alignment horizontal="center" vertical="center"/>
      <protection hidden="1"/>
    </xf>
    <xf numFmtId="2" fontId="2" fillId="5" borderId="14" xfId="0" applyNumberFormat="1" applyFont="1" applyFill="1" applyBorder="1" applyAlignment="1" applyProtection="1">
      <alignment horizontal="center" vertical="center"/>
      <protection hidden="1"/>
    </xf>
    <xf numFmtId="165" fontId="3" fillId="0" borderId="35" xfId="0" applyNumberFormat="1" applyFont="1" applyFill="1" applyBorder="1" applyAlignment="1" applyProtection="1">
      <alignment vertical="center"/>
      <protection hidden="1"/>
    </xf>
    <xf numFmtId="165" fontId="3" fillId="0" borderId="34" xfId="0" applyNumberFormat="1" applyFont="1" applyFill="1" applyBorder="1" applyAlignment="1" applyProtection="1">
      <alignment vertical="center"/>
      <protection hidden="1"/>
    </xf>
    <xf numFmtId="2" fontId="2" fillId="6" borderId="17" xfId="0" applyNumberFormat="1" applyFont="1" applyFill="1" applyBorder="1" applyAlignment="1" applyProtection="1">
      <alignment horizontal="center" vertical="center"/>
      <protection hidden="1"/>
    </xf>
    <xf numFmtId="0" fontId="3" fillId="7" borderId="41" xfId="0" applyFont="1" applyFill="1" applyBorder="1" applyAlignment="1" applyProtection="1">
      <alignment vertical="center"/>
      <protection hidden="1"/>
    </xf>
    <xf numFmtId="0" fontId="0" fillId="0" borderId="17" xfId="0" applyFill="1" applyBorder="1" applyAlignment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165" fontId="0" fillId="4" borderId="14" xfId="0" applyNumberFormat="1" applyFont="1" applyFill="1" applyBorder="1" applyAlignment="1" applyProtection="1">
      <alignment horizontal="center" vertical="center"/>
      <protection hidden="1"/>
    </xf>
    <xf numFmtId="164" fontId="0" fillId="4" borderId="18" xfId="0" applyNumberFormat="1" applyFont="1" applyFill="1" applyBorder="1" applyAlignment="1" applyProtection="1">
      <alignment horizontal="center" vertical="center"/>
      <protection hidden="1"/>
    </xf>
    <xf numFmtId="0" fontId="0" fillId="0" borderId="16" xfId="0" applyFont="1" applyFill="1" applyBorder="1" applyAlignment="1" applyProtection="1">
      <alignment vertical="center"/>
      <protection hidden="1"/>
    </xf>
    <xf numFmtId="0" fontId="0" fillId="0" borderId="17" xfId="0" applyFont="1" applyFill="1" applyBorder="1" applyAlignment="1" applyProtection="1">
      <alignment vertical="center"/>
      <protection hidden="1"/>
    </xf>
    <xf numFmtId="14" fontId="2" fillId="2" borderId="17" xfId="0" applyNumberFormat="1" applyFont="1" applyFill="1" applyBorder="1" applyAlignment="1" applyProtection="1">
      <alignment vertical="center"/>
      <protection hidden="1"/>
    </xf>
    <xf numFmtId="164" fontId="0" fillId="4" borderId="20" xfId="0" applyNumberFormat="1" applyFont="1" applyFill="1" applyBorder="1" applyAlignment="1" applyProtection="1">
      <alignment horizontal="center" vertical="center"/>
      <protection hidden="1"/>
    </xf>
    <xf numFmtId="164" fontId="0" fillId="4" borderId="22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166" fontId="0" fillId="2" borderId="17" xfId="0" applyNumberFormat="1" applyFont="1" applyFill="1" applyBorder="1" applyAlignment="1" applyProtection="1">
      <alignment horizontal="center" vertical="center"/>
      <protection locked="0"/>
    </xf>
    <xf numFmtId="165" fontId="0" fillId="2" borderId="17" xfId="0" applyNumberFormat="1" applyFont="1" applyFill="1" applyBorder="1" applyAlignment="1" applyProtection="1">
      <alignment horizontal="center" vertical="center"/>
      <protection locked="0"/>
    </xf>
    <xf numFmtId="165" fontId="0" fillId="0" borderId="17" xfId="0" applyNumberFormat="1" applyFont="1" applyFill="1" applyBorder="1" applyAlignment="1" applyProtection="1">
      <alignment horizontal="right" vertical="center"/>
      <protection hidden="1"/>
    </xf>
    <xf numFmtId="166" fontId="0" fillId="2" borderId="13" xfId="0" applyNumberFormat="1" applyFont="1" applyFill="1" applyBorder="1" applyAlignment="1" applyProtection="1">
      <alignment horizontal="center" vertical="center"/>
      <protection locked="0"/>
    </xf>
    <xf numFmtId="165" fontId="0" fillId="6" borderId="17" xfId="0" applyNumberFormat="1" applyFont="1" applyFill="1" applyBorder="1" applyAlignment="1" applyProtection="1">
      <alignment horizontal="center" vertical="center"/>
      <protection hidden="1"/>
    </xf>
    <xf numFmtId="164" fontId="0" fillId="4" borderId="14" xfId="0" applyNumberFormat="1" applyFont="1" applyFill="1" applyBorder="1" applyAlignment="1" applyProtection="1">
      <alignment horizontal="center" vertical="center"/>
      <protection hidden="1"/>
    </xf>
    <xf numFmtId="14" fontId="0" fillId="2" borderId="17" xfId="0" applyNumberFormat="1" applyFont="1" applyFill="1" applyBorder="1" applyAlignment="1" applyProtection="1">
      <alignment horizontal="right" vertical="center"/>
      <protection hidden="1"/>
    </xf>
    <xf numFmtId="166" fontId="3" fillId="4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9" fillId="0" borderId="17" xfId="0" applyFont="1" applyBorder="1"/>
    <xf numFmtId="0" fontId="9" fillId="0" borderId="17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4" xfId="0" applyBorder="1" applyAlignment="1">
      <alignment horizontal="left" vertical="center"/>
    </xf>
    <xf numFmtId="166" fontId="0" fillId="0" borderId="0" xfId="0" applyNumberFormat="1"/>
    <xf numFmtId="1" fontId="0" fillId="0" borderId="0" xfId="0" applyNumberFormat="1"/>
    <xf numFmtId="166" fontId="11" fillId="0" borderId="0" xfId="0" applyNumberFormat="1" applyFont="1"/>
    <xf numFmtId="0" fontId="11" fillId="0" borderId="0" xfId="0" applyFont="1"/>
    <xf numFmtId="0" fontId="9" fillId="0" borderId="17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165" fontId="11" fillId="0" borderId="0" xfId="0" applyNumberFormat="1" applyFont="1"/>
    <xf numFmtId="0" fontId="0" fillId="0" borderId="0" xfId="0" applyAlignment="1">
      <alignment horizontal="center"/>
    </xf>
    <xf numFmtId="49" fontId="9" fillId="0" borderId="17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0" fontId="0" fillId="0" borderId="0" xfId="0" applyBorder="1"/>
    <xf numFmtId="0" fontId="9" fillId="0" borderId="14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0" fillId="8" borderId="8" xfId="0" applyFill="1" applyBorder="1" applyAlignment="1">
      <alignment horizontal="left"/>
    </xf>
    <xf numFmtId="0" fontId="6" fillId="0" borderId="14" xfId="0" applyFont="1" applyFill="1" applyBorder="1" applyAlignment="1" applyProtection="1">
      <alignment horizontal="center" vertical="center" shrinkToFit="1"/>
      <protection hidden="1"/>
    </xf>
    <xf numFmtId="0" fontId="6" fillId="0" borderId="15" xfId="0" applyFont="1" applyFill="1" applyBorder="1" applyAlignment="1" applyProtection="1">
      <alignment horizontal="center" vertical="center" shrinkToFit="1"/>
      <protection hidden="1"/>
    </xf>
    <xf numFmtId="0" fontId="0" fillId="0" borderId="1" xfId="0" applyFont="1" applyFill="1" applyBorder="1" applyAlignment="1" applyProtection="1">
      <alignment horizontal="left" vertical="center"/>
      <protection hidden="1"/>
    </xf>
    <xf numFmtId="0" fontId="0" fillId="0" borderId="2" xfId="0" applyFont="1" applyFill="1" applyBorder="1" applyAlignment="1" applyProtection="1">
      <alignment horizontal="left" vertical="center"/>
      <protection hidden="1"/>
    </xf>
    <xf numFmtId="0" fontId="0" fillId="0" borderId="3" xfId="0" applyFont="1" applyFill="1" applyBorder="1" applyAlignment="1" applyProtection="1">
      <alignment horizontal="left" vertical="center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164" fontId="2" fillId="0" borderId="1" xfId="0" applyNumberFormat="1" applyFont="1" applyFill="1" applyBorder="1" applyAlignment="1" applyProtection="1">
      <alignment horizontal="center" vertical="center" shrinkToFit="1"/>
      <protection hidden="1"/>
    </xf>
    <xf numFmtId="164" fontId="2" fillId="0" borderId="2" xfId="0" applyNumberFormat="1" applyFont="1" applyFill="1" applyBorder="1" applyAlignment="1" applyProtection="1">
      <alignment horizontal="center" vertical="center" shrinkToFit="1"/>
      <protection hidden="1"/>
    </xf>
    <xf numFmtId="164" fontId="2" fillId="0" borderId="4" xfId="0" applyNumberFormat="1" applyFont="1" applyFill="1" applyBorder="1" applyAlignment="1" applyProtection="1">
      <alignment horizontal="center" vertical="center" shrinkToFit="1"/>
      <protection hidden="1"/>
    </xf>
    <xf numFmtId="164" fontId="2" fillId="0" borderId="7" xfId="0" applyNumberFormat="1" applyFont="1" applyFill="1" applyBorder="1" applyAlignment="1" applyProtection="1">
      <alignment horizontal="center" vertical="center"/>
      <protection hidden="1"/>
    </xf>
    <xf numFmtId="164" fontId="2" fillId="0" borderId="8" xfId="0" applyNumberFormat="1" applyFont="1" applyFill="1" applyBorder="1" applyAlignment="1" applyProtection="1">
      <alignment horizontal="center" vertical="center"/>
      <protection hidden="1"/>
    </xf>
    <xf numFmtId="164" fontId="2" fillId="0" borderId="9" xfId="0" applyNumberFormat="1" applyFont="1" applyFill="1" applyBorder="1" applyAlignment="1" applyProtection="1">
      <alignment horizontal="center" vertical="center"/>
      <protection hidden="1"/>
    </xf>
    <xf numFmtId="49" fontId="3" fillId="3" borderId="11" xfId="0" applyNumberFormat="1" applyFont="1" applyFill="1" applyBorder="1" applyAlignment="1" applyProtection="1">
      <alignment horizontal="center" vertical="center"/>
      <protection hidden="1"/>
    </xf>
    <xf numFmtId="49" fontId="3" fillId="3" borderId="12" xfId="0" applyNumberFormat="1" applyFont="1" applyFill="1" applyBorder="1" applyAlignment="1" applyProtection="1">
      <alignment horizontal="center" vertical="center"/>
      <protection hidden="1"/>
    </xf>
    <xf numFmtId="49" fontId="3" fillId="3" borderId="13" xfId="0" applyNumberFormat="1" applyFont="1" applyFill="1" applyBorder="1" applyAlignment="1" applyProtection="1">
      <alignment horizontal="center" vertical="center"/>
      <protection hidden="1"/>
    </xf>
    <xf numFmtId="164" fontId="3" fillId="0" borderId="14" xfId="0" applyNumberFormat="1" applyFont="1" applyFill="1" applyBorder="1" applyAlignment="1" applyProtection="1">
      <alignment horizontal="center" vertical="center"/>
      <protection hidden="1"/>
    </xf>
    <xf numFmtId="164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2" fillId="0" borderId="11" xfId="0" applyFont="1" applyFill="1" applyBorder="1" applyAlignment="1" applyProtection="1">
      <alignment horizontal="center" vertical="center"/>
      <protection hidden="1"/>
    </xf>
    <xf numFmtId="0" fontId="2" fillId="0" borderId="12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/>
      <protection hidden="1"/>
    </xf>
    <xf numFmtId="0" fontId="0" fillId="0" borderId="11" xfId="0" applyFont="1" applyFill="1" applyBorder="1" applyAlignment="1" applyProtection="1">
      <alignment horizontal="center" vertical="center"/>
      <protection hidden="1"/>
    </xf>
    <xf numFmtId="0" fontId="0" fillId="0" borderId="12" xfId="0" applyFont="1" applyFill="1" applyBorder="1" applyAlignment="1" applyProtection="1">
      <alignment horizontal="center" vertical="center"/>
      <protection hidden="1"/>
    </xf>
    <xf numFmtId="0" fontId="0" fillId="0" borderId="15" xfId="0" applyFont="1" applyFill="1" applyBorder="1" applyAlignment="1" applyProtection="1">
      <alignment horizontal="center" vertical="center"/>
      <protection hidden="1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" xfId="0" applyFont="1" applyFill="1" applyBorder="1" applyAlignment="1" applyProtection="1">
      <alignment horizontal="center" vertical="center"/>
      <protection hidden="1"/>
    </xf>
    <xf numFmtId="0" fontId="0" fillId="0" borderId="3" xfId="0" applyFont="1" applyFill="1" applyBorder="1" applyAlignment="1" applyProtection="1">
      <alignment horizontal="center" vertic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14" fontId="0" fillId="2" borderId="14" xfId="0" applyNumberFormat="1" applyFont="1" applyFill="1" applyBorder="1" applyAlignment="1" applyProtection="1">
      <alignment horizontal="center" vertical="center" shrinkToFit="1"/>
      <protection hidden="1"/>
    </xf>
    <xf numFmtId="14" fontId="0" fillId="2" borderId="12" xfId="0" applyNumberFormat="1" applyFont="1" applyFill="1" applyBorder="1" applyAlignment="1" applyProtection="1">
      <alignment horizontal="center" vertical="center" shrinkToFit="1"/>
      <protection hidden="1"/>
    </xf>
    <xf numFmtId="14" fontId="0" fillId="2" borderId="15" xfId="0" applyNumberFormat="1" applyFont="1" applyFill="1" applyBorder="1" applyAlignment="1" applyProtection="1">
      <alignment horizontal="center" vertical="center" shrinkToFit="1"/>
      <protection hidden="1"/>
    </xf>
    <xf numFmtId="1" fontId="3" fillId="4" borderId="14" xfId="0" applyNumberFormat="1" applyFont="1" applyFill="1" applyBorder="1" applyAlignment="1" applyProtection="1">
      <alignment horizontal="center" vertical="center"/>
      <protection hidden="1"/>
    </xf>
    <xf numFmtId="1" fontId="3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14" xfId="0" applyFont="1" applyFill="1" applyBorder="1" applyAlignment="1" applyProtection="1">
      <alignment horizontal="left" vertical="center"/>
      <protection hidden="1"/>
    </xf>
    <xf numFmtId="0" fontId="0" fillId="0" borderId="12" xfId="0" applyFont="1" applyFill="1" applyBorder="1" applyAlignment="1" applyProtection="1">
      <alignment horizontal="left" vertical="center"/>
      <protection hidden="1"/>
    </xf>
    <xf numFmtId="0" fontId="0" fillId="0" borderId="15" xfId="0" applyFont="1" applyFill="1" applyBorder="1" applyAlignment="1" applyProtection="1">
      <alignment horizontal="left" vertical="center"/>
      <protection hidden="1"/>
    </xf>
    <xf numFmtId="165" fontId="3" fillId="0" borderId="14" xfId="0" applyNumberFormat="1" applyFont="1" applyFill="1" applyBorder="1" applyAlignment="1" applyProtection="1">
      <alignment horizontal="center" vertical="center"/>
      <protection hidden="1"/>
    </xf>
    <xf numFmtId="165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3" fillId="0" borderId="13" xfId="0" applyFont="1" applyFill="1" applyBorder="1" applyAlignment="1" applyProtection="1">
      <alignment horizontal="center" vertical="center"/>
      <protection hidden="1"/>
    </xf>
    <xf numFmtId="0" fontId="2" fillId="0" borderId="11" xfId="0" applyFont="1" applyFill="1" applyBorder="1" applyAlignment="1" applyProtection="1">
      <alignment horizontal="left" vertical="center"/>
      <protection hidden="1"/>
    </xf>
    <xf numFmtId="0" fontId="2" fillId="0" borderId="13" xfId="0" applyFont="1" applyFill="1" applyBorder="1" applyAlignment="1" applyProtection="1">
      <alignment horizontal="left" vertical="center"/>
      <protection hidden="1"/>
    </xf>
    <xf numFmtId="0" fontId="0" fillId="2" borderId="25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2" fillId="2" borderId="21" xfId="0" applyFont="1" applyFill="1" applyBorder="1" applyAlignment="1" applyProtection="1">
      <alignment horizontal="center" vertical="center"/>
      <protection hidden="1"/>
    </xf>
    <xf numFmtId="0" fontId="2" fillId="0" borderId="27" xfId="0" applyFont="1" applyFill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center" vertical="center"/>
      <protection hidden="1"/>
    </xf>
    <xf numFmtId="0" fontId="0" fillId="2" borderId="17" xfId="0" applyFont="1" applyFill="1" applyBorder="1" applyAlignment="1" applyProtection="1">
      <alignment horizontal="left" vertical="center"/>
      <protection hidden="1"/>
    </xf>
    <xf numFmtId="0" fontId="5" fillId="0" borderId="11" xfId="0" applyFont="1" applyFill="1" applyBorder="1" applyAlignment="1" applyProtection="1">
      <alignment horizontal="center" vertical="center"/>
      <protection hidden="1"/>
    </xf>
    <xf numFmtId="0" fontId="5" fillId="0" borderId="12" xfId="0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horizontal="center" vertical="center"/>
      <protection hidden="1"/>
    </xf>
    <xf numFmtId="0" fontId="0" fillId="0" borderId="14" xfId="0" applyFont="1" applyFill="1" applyBorder="1" applyAlignment="1" applyProtection="1">
      <alignment horizontal="center" vertical="center"/>
      <protection hidden="1"/>
    </xf>
    <xf numFmtId="0" fontId="2" fillId="2" borderId="17" xfId="0" applyFont="1" applyFill="1" applyBorder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left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2" xfId="0" applyNumberFormat="1" applyFont="1" applyFill="1" applyBorder="1" applyAlignment="1" applyProtection="1">
      <alignment horizontal="center" vertical="center"/>
      <protection hidden="1"/>
    </xf>
    <xf numFmtId="165" fontId="2" fillId="0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13" xfId="0" applyFont="1" applyFill="1" applyBorder="1" applyAlignment="1" applyProtection="1">
      <alignment horizontal="center" vertical="center"/>
      <protection hidden="1"/>
    </xf>
    <xf numFmtId="0" fontId="0" fillId="2" borderId="14" xfId="0" applyFont="1" applyFill="1" applyBorder="1" applyAlignment="1" applyProtection="1">
      <alignment horizontal="center" vertical="center"/>
      <protection hidden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2" fontId="0" fillId="3" borderId="17" xfId="0" applyNumberFormat="1" applyFont="1" applyFill="1" applyBorder="1" applyAlignment="1" applyProtection="1">
      <alignment horizontal="left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4" xfId="0" applyNumberFormat="1" applyFont="1" applyFill="1" applyBorder="1" applyAlignment="1" applyProtection="1">
      <alignment horizontal="center" vertical="center"/>
      <protection hidden="1"/>
    </xf>
    <xf numFmtId="165" fontId="2" fillId="0" borderId="29" xfId="0" applyNumberFormat="1" applyFont="1" applyFill="1" applyBorder="1" applyAlignment="1" applyProtection="1">
      <alignment horizontal="center" vertical="center"/>
      <protection hidden="1"/>
    </xf>
    <xf numFmtId="165" fontId="2" fillId="0" borderId="30" xfId="0" applyNumberFormat="1" applyFont="1" applyFill="1" applyBorder="1" applyAlignment="1" applyProtection="1">
      <alignment horizontal="center" vertical="center"/>
      <protection hidden="1"/>
    </xf>
    <xf numFmtId="165" fontId="2" fillId="0" borderId="35" xfId="0" applyNumberFormat="1" applyFont="1" applyFill="1" applyBorder="1" applyAlignment="1" applyProtection="1">
      <alignment horizontal="center" vertical="center"/>
      <protection hidden="1"/>
    </xf>
    <xf numFmtId="165" fontId="2" fillId="0" borderId="37" xfId="0" applyNumberFormat="1" applyFont="1" applyFill="1" applyBorder="1" applyAlignment="1" applyProtection="1">
      <alignment horizontal="center" vertical="center"/>
      <protection hidden="1"/>
    </xf>
    <xf numFmtId="165" fontId="2" fillId="0" borderId="11" xfId="0" applyNumberFormat="1" applyFont="1" applyFill="1" applyBorder="1" applyAlignment="1" applyProtection="1">
      <alignment horizontal="center" vertical="center"/>
      <protection hidden="1"/>
    </xf>
    <xf numFmtId="165" fontId="2" fillId="0" borderId="13" xfId="0" applyNumberFormat="1" applyFont="1" applyFill="1" applyBorder="1" applyAlignment="1" applyProtection="1">
      <alignment horizontal="center" vertical="center"/>
      <protection hidden="1"/>
    </xf>
    <xf numFmtId="165" fontId="0" fillId="0" borderId="14" xfId="0" applyNumberFormat="1" applyFont="1" applyFill="1" applyBorder="1" applyAlignment="1" applyProtection="1">
      <alignment horizontal="center" vertical="center"/>
      <protection hidden="1"/>
    </xf>
    <xf numFmtId="165" fontId="0" fillId="0" borderId="13" xfId="0" applyNumberFormat="1" applyFont="1" applyFill="1" applyBorder="1" applyAlignment="1" applyProtection="1">
      <alignment horizontal="center" vertical="center"/>
      <protection hidden="1"/>
    </xf>
    <xf numFmtId="0" fontId="7" fillId="0" borderId="33" xfId="0" applyFont="1" applyFill="1" applyBorder="1" applyAlignment="1" applyProtection="1">
      <alignment horizontal="center" vertical="center"/>
      <protection hidden="1"/>
    </xf>
    <xf numFmtId="0" fontId="7" fillId="0" borderId="34" xfId="0" applyFont="1" applyFill="1" applyBorder="1" applyAlignment="1" applyProtection="1">
      <alignment horizontal="center" vertical="center"/>
      <protection hidden="1"/>
    </xf>
    <xf numFmtId="0" fontId="3" fillId="0" borderId="11" xfId="0" applyFont="1" applyFill="1" applyBorder="1" applyAlignment="1" applyProtection="1">
      <alignment vertical="center"/>
      <protection hidden="1"/>
    </xf>
    <xf numFmtId="0" fontId="3" fillId="0" borderId="12" xfId="0" applyFont="1" applyFill="1" applyBorder="1" applyAlignment="1" applyProtection="1">
      <alignment vertical="center"/>
      <protection hidden="1"/>
    </xf>
    <xf numFmtId="0" fontId="3" fillId="0" borderId="15" xfId="0" applyFont="1" applyFill="1" applyBorder="1" applyAlignment="1" applyProtection="1">
      <alignment vertical="center"/>
      <protection hidden="1"/>
    </xf>
    <xf numFmtId="0" fontId="2" fillId="0" borderId="25" xfId="0" applyFont="1" applyFill="1" applyBorder="1" applyAlignment="1" applyProtection="1">
      <alignment vertical="center"/>
      <protection hidden="1"/>
    </xf>
    <xf numFmtId="0" fontId="2" fillId="0" borderId="26" xfId="0" applyFont="1" applyFill="1" applyBorder="1" applyAlignment="1" applyProtection="1">
      <alignment vertical="center"/>
      <protection hidden="1"/>
    </xf>
    <xf numFmtId="0" fontId="2" fillId="0" borderId="28" xfId="0" applyFont="1" applyFill="1" applyBorder="1" applyAlignment="1" applyProtection="1">
      <alignment vertical="center"/>
      <protection hidden="1"/>
    </xf>
    <xf numFmtId="165" fontId="2" fillId="0" borderId="27" xfId="0" applyNumberFormat="1" applyFont="1" applyFill="1" applyBorder="1" applyAlignment="1">
      <alignment horizontal="center" vertical="center"/>
    </xf>
    <xf numFmtId="165" fontId="2" fillId="0" borderId="26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165" fontId="0" fillId="0" borderId="11" xfId="0" applyNumberFormat="1" applyFont="1" applyFill="1" applyBorder="1" applyAlignment="1" applyProtection="1">
      <alignment horizontal="left" vertical="center"/>
      <protection hidden="1"/>
    </xf>
    <xf numFmtId="165" fontId="0" fillId="0" borderId="13" xfId="0" applyNumberFormat="1" applyFont="1" applyFill="1" applyBorder="1" applyAlignment="1" applyProtection="1">
      <alignment horizontal="left" vertical="center"/>
      <protection hidden="1"/>
    </xf>
    <xf numFmtId="0" fontId="3" fillId="4" borderId="27" xfId="0" applyFont="1" applyFill="1" applyBorder="1" applyAlignment="1" applyProtection="1">
      <alignment horizontal="center" vertical="center"/>
      <protection hidden="1"/>
    </xf>
    <xf numFmtId="0" fontId="3" fillId="4" borderId="26" xfId="0" applyFont="1" applyFill="1" applyBorder="1" applyAlignment="1" applyProtection="1">
      <alignment horizontal="center" vertical="center"/>
      <protection hidden="1"/>
    </xf>
    <xf numFmtId="0" fontId="3" fillId="4" borderId="28" xfId="0" applyFont="1" applyFill="1" applyBorder="1" applyAlignment="1" applyProtection="1">
      <alignment horizontal="center" vertical="center"/>
      <protection hidden="1"/>
    </xf>
    <xf numFmtId="0" fontId="0" fillId="0" borderId="11" xfId="0" applyFont="1" applyFill="1" applyBorder="1" applyAlignment="1" applyProtection="1">
      <alignment vertical="center"/>
      <protection hidden="1"/>
    </xf>
    <xf numFmtId="0" fontId="0" fillId="0" borderId="13" xfId="0" applyFont="1" applyFill="1" applyBorder="1" applyAlignment="1" applyProtection="1">
      <alignment vertical="center"/>
      <protection hidden="1"/>
    </xf>
    <xf numFmtId="0" fontId="2" fillId="0" borderId="33" xfId="0" applyFont="1" applyFill="1" applyBorder="1" applyAlignment="1" applyProtection="1">
      <alignment horizontal="left" vertical="center"/>
      <protection hidden="1"/>
    </xf>
    <xf numFmtId="0" fontId="2" fillId="0" borderId="39" xfId="0" applyFont="1" applyFill="1" applyBorder="1" applyAlignment="1" applyProtection="1">
      <alignment horizontal="left" vertical="center"/>
      <protection hidden="1"/>
    </xf>
    <xf numFmtId="0" fontId="0" fillId="2" borderId="35" xfId="0" applyFont="1" applyFill="1" applyBorder="1" applyAlignment="1" applyProtection="1">
      <alignment horizontal="center" vertical="center"/>
      <protection hidden="1"/>
    </xf>
    <xf numFmtId="0" fontId="0" fillId="2" borderId="34" xfId="0" applyFont="1" applyFill="1" applyBorder="1" applyAlignment="1" applyProtection="1">
      <alignment horizontal="center" vertical="center"/>
      <protection hidden="1"/>
    </xf>
    <xf numFmtId="0" fontId="0" fillId="2" borderId="37" xfId="0" applyFont="1" applyFill="1" applyBorder="1" applyAlignment="1" applyProtection="1">
      <alignment horizontal="center" vertical="center"/>
      <protection hidden="1"/>
    </xf>
    <xf numFmtId="0" fontId="0" fillId="0" borderId="11" xfId="0" applyFont="1" applyFill="1" applyBorder="1" applyAlignment="1" applyProtection="1">
      <alignment horizontal="left" vertical="center"/>
      <protection hidden="1"/>
    </xf>
    <xf numFmtId="0" fontId="0" fillId="0" borderId="13" xfId="0" applyFont="1" applyFill="1" applyBorder="1" applyAlignment="1" applyProtection="1">
      <alignment horizontal="left" vertical="center"/>
      <protection hidden="1"/>
    </xf>
    <xf numFmtId="0" fontId="2" fillId="2" borderId="18" xfId="0" applyFont="1" applyFill="1" applyBorder="1" applyAlignment="1" applyProtection="1">
      <alignment horizontal="left" vertical="center"/>
      <protection hidden="1"/>
    </xf>
    <xf numFmtId="165" fontId="2" fillId="0" borderId="14" xfId="0" applyNumberFormat="1" applyFont="1" applyFill="1" applyBorder="1" applyAlignment="1" applyProtection="1">
      <alignment horizontal="center" vertical="center"/>
      <protection hidden="1"/>
    </xf>
    <xf numFmtId="165" fontId="0" fillId="0" borderId="15" xfId="0" applyNumberFormat="1" applyFont="1" applyFill="1" applyBorder="1" applyAlignment="1" applyProtection="1">
      <alignment horizontal="center" vertical="center"/>
      <protection hidden="1"/>
    </xf>
    <xf numFmtId="165" fontId="2" fillId="0" borderId="40" xfId="0" applyNumberFormat="1" applyFont="1" applyFill="1" applyBorder="1" applyAlignment="1" applyProtection="1">
      <alignment horizontal="center" vertical="center"/>
      <protection hidden="1"/>
    </xf>
    <xf numFmtId="165" fontId="2" fillId="0" borderId="38" xfId="0" applyNumberFormat="1" applyFont="1" applyFill="1" applyBorder="1" applyAlignment="1" applyProtection="1">
      <alignment horizontal="center" vertical="center"/>
      <protection hidden="1"/>
    </xf>
    <xf numFmtId="165" fontId="2" fillId="0" borderId="34" xfId="0" applyNumberFormat="1" applyFont="1" applyFill="1" applyBorder="1" applyAlignment="1" applyProtection="1">
      <alignment horizontal="center" vertical="center"/>
      <protection hidden="1"/>
    </xf>
    <xf numFmtId="165" fontId="2" fillId="0" borderId="39" xfId="0" applyNumberFormat="1" applyFont="1" applyFill="1" applyBorder="1" applyAlignment="1" applyProtection="1">
      <alignment horizontal="center" vertical="center"/>
      <protection hidden="1"/>
    </xf>
    <xf numFmtId="165" fontId="2" fillId="0" borderId="15" xfId="0" applyNumberFormat="1" applyFont="1" applyFill="1" applyBorder="1" applyAlignment="1" applyProtection="1">
      <alignment horizontal="center" vertical="center"/>
      <protection hidden="1"/>
    </xf>
    <xf numFmtId="165" fontId="3" fillId="0" borderId="11" xfId="0" applyNumberFormat="1" applyFont="1" applyFill="1" applyBorder="1" applyAlignment="1" applyProtection="1">
      <alignment horizontal="center" vertical="center"/>
      <protection hidden="1"/>
    </xf>
    <xf numFmtId="165" fontId="3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7" borderId="14" xfId="0" applyFont="1" applyFill="1" applyBorder="1" applyAlignment="1" applyProtection="1">
      <alignment horizontal="center" vertical="center"/>
      <protection hidden="1"/>
    </xf>
    <xf numFmtId="0" fontId="0" fillId="7" borderId="12" xfId="0" applyFont="1" applyFill="1" applyBorder="1" applyAlignment="1" applyProtection="1">
      <alignment horizontal="center" vertical="center"/>
      <protection hidden="1"/>
    </xf>
    <xf numFmtId="0" fontId="0" fillId="7" borderId="13" xfId="0" applyFont="1" applyFill="1" applyBorder="1" applyAlignment="1" applyProtection="1">
      <alignment horizontal="center" vertical="center"/>
      <protection hidden="1"/>
    </xf>
    <xf numFmtId="0" fontId="0" fillId="7" borderId="31" xfId="0" applyFont="1" applyFill="1" applyBorder="1" applyAlignment="1" applyProtection="1">
      <alignment horizontal="center" vertical="center"/>
      <protection hidden="1"/>
    </xf>
    <xf numFmtId="0" fontId="0" fillId="7" borderId="40" xfId="0" applyFont="1" applyFill="1" applyBorder="1" applyAlignment="1" applyProtection="1">
      <alignment horizontal="center" vertical="center"/>
      <protection hidden="1"/>
    </xf>
    <xf numFmtId="0" fontId="0" fillId="7" borderId="24" xfId="0" applyFont="1" applyFill="1" applyBorder="1" applyAlignment="1" applyProtection="1">
      <alignment horizontal="center" vertical="center"/>
      <protection hidden="1"/>
    </xf>
    <xf numFmtId="164" fontId="0" fillId="0" borderId="11" xfId="0" applyNumberFormat="1" applyFont="1" applyFill="1" applyBorder="1" applyAlignment="1" applyProtection="1">
      <alignment horizontal="center" vertical="center"/>
      <protection hidden="1"/>
    </xf>
    <xf numFmtId="164" fontId="0" fillId="0" borderId="13" xfId="0" applyNumberFormat="1" applyFont="1" applyFill="1" applyBorder="1" applyAlignment="1" applyProtection="1">
      <alignment horizontal="center" vertical="center"/>
      <protection hidden="1"/>
    </xf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164" fontId="2" fillId="0" borderId="13" xfId="0" applyNumberFormat="1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38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35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39" xfId="0" applyNumberFormat="1" applyFont="1" applyFill="1" applyBorder="1" applyAlignment="1" applyProtection="1">
      <alignment horizontal="left" vertical="center" wrapText="1"/>
      <protection hidden="1"/>
    </xf>
    <xf numFmtId="164" fontId="3" fillId="0" borderId="12" xfId="0" applyNumberFormat="1" applyFont="1" applyFill="1" applyBorder="1" applyAlignment="1" applyProtection="1">
      <alignment horizontal="center" vertical="center"/>
      <protection hidden="1"/>
    </xf>
    <xf numFmtId="165" fontId="0" fillId="0" borderId="11" xfId="0" applyNumberFormat="1" applyFont="1" applyFill="1" applyBorder="1" applyAlignment="1" applyProtection="1">
      <alignment vertical="center"/>
      <protection hidden="1"/>
    </xf>
    <xf numFmtId="165" fontId="0" fillId="0" borderId="13" xfId="0" applyNumberFormat="1" applyFont="1" applyFill="1" applyBorder="1" applyAlignment="1" applyProtection="1">
      <alignment vertical="center"/>
      <protection hidden="1"/>
    </xf>
    <xf numFmtId="164" fontId="0" fillId="0" borderId="42" xfId="0" applyNumberFormat="1" applyFont="1" applyFill="1" applyBorder="1" applyAlignment="1" applyProtection="1">
      <alignment horizontal="center" vertical="center"/>
      <protection hidden="1"/>
    </xf>
    <xf numFmtId="164" fontId="0" fillId="0" borderId="40" xfId="0" applyNumberFormat="1" applyFont="1" applyFill="1" applyBorder="1" applyAlignment="1" applyProtection="1">
      <alignment horizontal="center" vertical="center"/>
      <protection hidden="1"/>
    </xf>
    <xf numFmtId="164" fontId="0" fillId="0" borderId="24" xfId="0" applyNumberFormat="1" applyFont="1" applyFill="1" applyBorder="1" applyAlignment="1" applyProtection="1">
      <alignment horizontal="center" vertical="center"/>
      <protection hidden="1"/>
    </xf>
    <xf numFmtId="164" fontId="0" fillId="0" borderId="33" xfId="0" applyNumberFormat="1" applyFont="1" applyFill="1" applyBorder="1" applyAlignment="1" applyProtection="1">
      <alignment horizontal="center" vertical="center"/>
      <protection hidden="1"/>
    </xf>
    <xf numFmtId="164" fontId="0" fillId="0" borderId="34" xfId="0" applyNumberFormat="1" applyFont="1" applyFill="1" applyBorder="1" applyAlignment="1" applyProtection="1">
      <alignment horizontal="center" vertical="center"/>
      <protection hidden="1"/>
    </xf>
    <xf numFmtId="164" fontId="0" fillId="0" borderId="37" xfId="0" applyNumberFormat="1" applyFont="1" applyFill="1" applyBorder="1" applyAlignment="1" applyProtection="1">
      <alignment horizontal="center" vertical="center"/>
      <protection hidden="1"/>
    </xf>
    <xf numFmtId="0" fontId="0" fillId="0" borderId="11" xfId="0" applyFill="1" applyBorder="1" applyAlignment="1"/>
    <xf numFmtId="0" fontId="0" fillId="0" borderId="13" xfId="0" applyFill="1" applyBorder="1" applyAlignment="1"/>
    <xf numFmtId="0" fontId="0" fillId="0" borderId="25" xfId="0" applyFill="1" applyBorder="1" applyAlignment="1"/>
    <xf numFmtId="0" fontId="0" fillId="0" borderId="21" xfId="0" applyFill="1" applyBorder="1" applyAlignment="1"/>
    <xf numFmtId="164" fontId="0" fillId="0" borderId="25" xfId="0" applyNumberFormat="1" applyFont="1" applyFill="1" applyBorder="1" applyAlignment="1" applyProtection="1">
      <alignment horizontal="center" vertical="center"/>
      <protection hidden="1"/>
    </xf>
    <xf numFmtId="164" fontId="0" fillId="0" borderId="26" xfId="0" applyNumberFormat="1" applyFont="1" applyFill="1" applyBorder="1" applyAlignment="1" applyProtection="1">
      <alignment horizontal="center" vertical="center"/>
      <protection hidden="1"/>
    </xf>
    <xf numFmtId="164" fontId="0" fillId="0" borderId="21" xfId="0" applyNumberFormat="1" applyFont="1" applyFill="1" applyBorder="1" applyAlignment="1" applyProtection="1">
      <alignment horizontal="center" vertical="center"/>
      <protection hidden="1"/>
    </xf>
    <xf numFmtId="0" fontId="0" fillId="0" borderId="27" xfId="0" applyFont="1" applyFill="1" applyBorder="1" applyAlignment="1" applyProtection="1">
      <alignment horizontal="center" vertical="center"/>
      <protection hidden="1"/>
    </xf>
    <xf numFmtId="0" fontId="0" fillId="0" borderId="28" xfId="0" applyFont="1" applyFill="1" applyBorder="1" applyAlignment="1" applyProtection="1">
      <alignment horizontal="center" vertical="center"/>
      <protection hidden="1"/>
    </xf>
    <xf numFmtId="14" fontId="2" fillId="0" borderId="23" xfId="0" applyNumberFormat="1" applyFont="1" applyFill="1" applyBorder="1" applyAlignment="1" applyProtection="1">
      <alignment horizontal="center" vertical="center"/>
      <protection hidden="1"/>
    </xf>
    <xf numFmtId="14" fontId="2" fillId="0" borderId="40" xfId="0" applyNumberFormat="1" applyFont="1" applyFill="1" applyBorder="1" applyAlignment="1" applyProtection="1">
      <alignment horizontal="center" vertical="center"/>
      <protection hidden="1"/>
    </xf>
    <xf numFmtId="14" fontId="2" fillId="0" borderId="24" xfId="0" applyNumberFormat="1" applyFont="1" applyFill="1" applyBorder="1" applyAlignment="1" applyProtection="1">
      <alignment horizontal="center" vertical="center"/>
      <protection hidden="1"/>
    </xf>
    <xf numFmtId="14" fontId="2" fillId="0" borderId="35" xfId="0" applyNumberFormat="1" applyFont="1" applyFill="1" applyBorder="1" applyAlignment="1" applyProtection="1">
      <alignment horizontal="center" vertical="center"/>
      <protection hidden="1"/>
    </xf>
    <xf numFmtId="14" fontId="2" fillId="0" borderId="34" xfId="0" applyNumberFormat="1" applyFont="1" applyFill="1" applyBorder="1" applyAlignment="1" applyProtection="1">
      <alignment horizontal="center" vertical="center"/>
      <protection hidden="1"/>
    </xf>
    <xf numFmtId="14" fontId="2" fillId="0" borderId="37" xfId="0" applyNumberFormat="1" applyFont="1" applyFill="1" applyBorder="1" applyAlignment="1" applyProtection="1">
      <alignment horizontal="center" vertical="center"/>
      <protection hidden="1"/>
    </xf>
    <xf numFmtId="0" fontId="0" fillId="2" borderId="12" xfId="0" applyFont="1" applyFill="1" applyBorder="1" applyAlignment="1" applyProtection="1">
      <alignment horizontal="center" vertical="center"/>
      <protection hidden="1"/>
    </xf>
    <xf numFmtId="0" fontId="0" fillId="2" borderId="26" xfId="0" applyFont="1" applyFill="1" applyBorder="1" applyAlignment="1" applyProtection="1">
      <alignment horizontal="center" vertical="center"/>
      <protection hidden="1"/>
    </xf>
    <xf numFmtId="0" fontId="0" fillId="2" borderId="21" xfId="0" applyFont="1" applyFill="1" applyBorder="1" applyAlignment="1" applyProtection="1">
      <alignment horizontal="center" vertical="center"/>
      <protection hidden="1"/>
    </xf>
    <xf numFmtId="0" fontId="0" fillId="2" borderId="14" xfId="0" applyFont="1" applyFill="1" applyBorder="1" applyAlignment="1" applyProtection="1">
      <alignment horizontal="left" vertical="center"/>
      <protection hidden="1"/>
    </xf>
    <xf numFmtId="0" fontId="0" fillId="2" borderId="13" xfId="0" applyFont="1" applyFill="1" applyBorder="1" applyAlignment="1" applyProtection="1">
      <alignment horizontal="left" vertical="center"/>
      <protection hidden="1"/>
    </xf>
    <xf numFmtId="0" fontId="0" fillId="7" borderId="11" xfId="0" applyFont="1" applyFill="1" applyBorder="1" applyAlignment="1" applyProtection="1">
      <alignment horizontal="center" vertical="center"/>
      <protection hidden="1"/>
    </xf>
    <xf numFmtId="0" fontId="0" fillId="7" borderId="15" xfId="0" applyFont="1" applyFill="1" applyBorder="1" applyAlignment="1" applyProtection="1">
      <alignment horizontal="center" vertical="center"/>
      <protection hidden="1"/>
    </xf>
    <xf numFmtId="0" fontId="0" fillId="2" borderId="12" xfId="0" applyFont="1" applyFill="1" applyBorder="1" applyAlignment="1" applyProtection="1">
      <alignment horizontal="left" vertical="center"/>
      <protection hidden="1"/>
    </xf>
    <xf numFmtId="0" fontId="0" fillId="2" borderId="15" xfId="0" applyFont="1" applyFill="1" applyBorder="1" applyAlignment="1" applyProtection="1">
      <alignment horizontal="left" vertical="center"/>
      <protection hidden="1"/>
    </xf>
    <xf numFmtId="2" fontId="0" fillId="3" borderId="14" xfId="0" applyNumberFormat="1" applyFont="1" applyFill="1" applyBorder="1" applyAlignment="1" applyProtection="1">
      <alignment horizontal="left" vertical="center"/>
      <protection hidden="1"/>
    </xf>
    <xf numFmtId="2" fontId="0" fillId="3" borderId="13" xfId="0" applyNumberFormat="1" applyFont="1" applyFill="1" applyBorder="1" applyAlignment="1" applyProtection="1">
      <alignment horizontal="left" vertical="center"/>
      <protection hidden="1"/>
    </xf>
    <xf numFmtId="14" fontId="2" fillId="3" borderId="27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0" fontId="0" fillId="2" borderId="43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2" borderId="3" xfId="0" applyFont="1" applyFill="1" applyBorder="1" applyAlignment="1" applyProtection="1">
      <alignment horizontal="center" vertical="center"/>
      <protection hidden="1"/>
    </xf>
    <xf numFmtId="10" fontId="3" fillId="0" borderId="14" xfId="0" applyNumberFormat="1" applyFont="1" applyFill="1" applyBorder="1" applyAlignment="1" applyProtection="1">
      <alignment horizontal="center" vertical="center"/>
      <protection hidden="1"/>
    </xf>
    <xf numFmtId="10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25" xfId="0" applyFont="1" applyFill="1" applyBorder="1" applyAlignment="1" applyProtection="1">
      <alignment vertical="center"/>
      <protection hidden="1"/>
    </xf>
    <xf numFmtId="0" fontId="0" fillId="0" borderId="26" xfId="0" applyFont="1" applyFill="1" applyBorder="1" applyAlignment="1" applyProtection="1">
      <alignment vertical="center"/>
      <protection hidden="1"/>
    </xf>
    <xf numFmtId="0" fontId="0" fillId="0" borderId="28" xfId="0" applyFont="1" applyFill="1" applyBorder="1" applyAlignment="1" applyProtection="1">
      <alignment vertical="center"/>
      <protection hidden="1"/>
    </xf>
    <xf numFmtId="0" fontId="0" fillId="8" borderId="44" xfId="0" applyFill="1" applyBorder="1" applyAlignment="1">
      <alignment horizontal="left"/>
    </xf>
    <xf numFmtId="0" fontId="9" fillId="0" borderId="14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9" fillId="0" borderId="17" xfId="0" applyNumberFormat="1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14" xfId="0" applyNumberFormat="1" applyFont="1" applyBorder="1" applyAlignment="1">
      <alignment horizontal="left" vertical="center"/>
    </xf>
    <xf numFmtId="49" fontId="9" fillId="0" borderId="13" xfId="0" applyNumberFormat="1" applyFont="1" applyBorder="1" applyAlignment="1">
      <alignment horizontal="left" vertical="center"/>
    </xf>
    <xf numFmtId="0" fontId="9" fillId="0" borderId="17" xfId="0" applyFont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21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0" fillId="0" borderId="17" xfId="0" applyBorder="1"/>
    <xf numFmtId="164" fontId="0" fillId="0" borderId="17" xfId="0" applyNumberFormat="1" applyBorder="1"/>
    <xf numFmtId="164" fontId="0" fillId="0" borderId="14" xfId="0" applyNumberFormat="1" applyBorder="1" applyAlignment="1">
      <alignment horizontal="center" vertical="center"/>
    </xf>
    <xf numFmtId="0" fontId="0" fillId="0" borderId="17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16" xfId="0" applyFont="1" applyBorder="1" applyAlignment="1">
      <alignment horizontal="center" vertical="center"/>
    </xf>
    <xf numFmtId="1" fontId="0" fillId="0" borderId="18" xfId="0" applyNumberForma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21" fontId="0" fillId="0" borderId="16" xfId="0" applyNumberForma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1" fontId="0" fillId="0" borderId="22" xfId="0" applyNumberForma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6" xfId="0" applyBorder="1"/>
    <xf numFmtId="0" fontId="0" fillId="0" borderId="6" xfId="0" applyBorder="1"/>
    <xf numFmtId="1" fontId="0" fillId="0" borderId="16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5185339238533053E-2"/>
          <c:y val="0.10504223231156511"/>
          <c:w val="0.56481583625549092"/>
          <c:h val="0.7226905583035679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power"/>
            <c:dispRSqr val="1"/>
            <c:dispEq val="1"/>
            <c:trendlineLbl>
              <c:layout>
                <c:manualLayout>
                  <c:x val="-0.35035504652590571"/>
                  <c:y val="-0.7079004830278568"/>
                </c:manualLayout>
              </c:layout>
              <c:numFmt formatCode="General" sourceLinked="0"/>
            </c:trendlineLbl>
          </c:trendline>
          <c:xVal>
            <c:numRef>
              <c:f>Классификация!$B$1:$BD$1</c:f>
              <c:numCache>
                <c:formatCode>General</c:formatCode>
                <c:ptCount val="55"/>
                <c:pt idx="0">
                  <c:v>1052</c:v>
                </c:pt>
                <c:pt idx="1">
                  <c:v>1010</c:v>
                </c:pt>
                <c:pt idx="2">
                  <c:v>972</c:v>
                </c:pt>
                <c:pt idx="3">
                  <c:v>936.3</c:v>
                </c:pt>
                <c:pt idx="4">
                  <c:v>904.5</c:v>
                </c:pt>
                <c:pt idx="5">
                  <c:v>875</c:v>
                </c:pt>
                <c:pt idx="6">
                  <c:v>847.5</c:v>
                </c:pt>
                <c:pt idx="7">
                  <c:v>822.5</c:v>
                </c:pt>
                <c:pt idx="8">
                  <c:v>798.7</c:v>
                </c:pt>
                <c:pt idx="9" formatCode="0.0">
                  <c:v>769</c:v>
                </c:pt>
                <c:pt idx="10">
                  <c:v>749</c:v>
                </c:pt>
                <c:pt idx="11">
                  <c:v>737</c:v>
                </c:pt>
                <c:pt idx="12">
                  <c:v>720</c:v>
                </c:pt>
                <c:pt idx="13">
                  <c:v>703</c:v>
                </c:pt>
                <c:pt idx="14">
                  <c:v>687</c:v>
                </c:pt>
                <c:pt idx="15">
                  <c:v>671.5</c:v>
                </c:pt>
                <c:pt idx="16">
                  <c:v>657.5</c:v>
                </c:pt>
                <c:pt idx="17">
                  <c:v>644</c:v>
                </c:pt>
                <c:pt idx="18">
                  <c:v>631</c:v>
                </c:pt>
                <c:pt idx="19">
                  <c:v>618.6</c:v>
                </c:pt>
                <c:pt idx="20">
                  <c:v>606.79999999999995</c:v>
                </c:pt>
                <c:pt idx="21">
                  <c:v>595.6</c:v>
                </c:pt>
                <c:pt idx="22">
                  <c:v>585</c:v>
                </c:pt>
                <c:pt idx="23">
                  <c:v>574.5</c:v>
                </c:pt>
                <c:pt idx="24">
                  <c:v>565</c:v>
                </c:pt>
                <c:pt idx="25">
                  <c:v>555.5</c:v>
                </c:pt>
                <c:pt idx="26">
                  <c:v>546.5</c:v>
                </c:pt>
                <c:pt idx="27">
                  <c:v>537.9</c:v>
                </c:pt>
                <c:pt idx="28">
                  <c:v>529.4</c:v>
                </c:pt>
                <c:pt idx="29">
                  <c:v>521.4</c:v>
                </c:pt>
                <c:pt idx="30">
                  <c:v>513.6</c:v>
                </c:pt>
                <c:pt idx="31">
                  <c:v>506.1</c:v>
                </c:pt>
                <c:pt idx="32">
                  <c:v>499</c:v>
                </c:pt>
                <c:pt idx="33">
                  <c:v>492</c:v>
                </c:pt>
                <c:pt idx="34">
                  <c:v>485.3</c:v>
                </c:pt>
                <c:pt idx="35">
                  <c:v>478.6</c:v>
                </c:pt>
                <c:pt idx="36">
                  <c:v>472.4</c:v>
                </c:pt>
                <c:pt idx="37">
                  <c:v>466.3</c:v>
                </c:pt>
                <c:pt idx="38">
                  <c:v>460.4</c:v>
                </c:pt>
                <c:pt idx="39">
                  <c:v>454.8</c:v>
                </c:pt>
                <c:pt idx="40">
                  <c:v>449.1</c:v>
                </c:pt>
                <c:pt idx="41">
                  <c:v>443.8</c:v>
                </c:pt>
                <c:pt idx="42">
                  <c:v>438.6</c:v>
                </c:pt>
                <c:pt idx="43">
                  <c:v>433.5</c:v>
                </c:pt>
                <c:pt idx="44">
                  <c:v>428.5</c:v>
                </c:pt>
                <c:pt idx="45">
                  <c:v>424.2</c:v>
                </c:pt>
                <c:pt idx="46">
                  <c:v>419.5</c:v>
                </c:pt>
                <c:pt idx="47">
                  <c:v>415</c:v>
                </c:pt>
                <c:pt idx="48">
                  <c:v>410.6</c:v>
                </c:pt>
                <c:pt idx="49">
                  <c:v>406.5</c:v>
                </c:pt>
                <c:pt idx="50">
                  <c:v>402.4</c:v>
                </c:pt>
                <c:pt idx="51" formatCode="0.0">
                  <c:v>398.3</c:v>
                </c:pt>
                <c:pt idx="52" formatCode="0.0">
                  <c:v>394.3</c:v>
                </c:pt>
                <c:pt idx="53">
                  <c:v>390.4</c:v>
                </c:pt>
                <c:pt idx="54" formatCode="0.0">
                  <c:v>386.7</c:v>
                </c:pt>
              </c:numCache>
            </c:numRef>
          </c:xVal>
          <c:yVal>
            <c:numRef>
              <c:f>Классификация!$B$2:$BD$2</c:f>
              <c:numCache>
                <c:formatCode>General</c:formatCode>
                <c:ptCount val="55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30</c:v>
                </c:pt>
                <c:pt idx="15">
                  <c:v>31</c:v>
                </c:pt>
                <c:pt idx="16">
                  <c:v>32</c:v>
                </c:pt>
                <c:pt idx="17">
                  <c:v>33</c:v>
                </c:pt>
                <c:pt idx="18">
                  <c:v>34</c:v>
                </c:pt>
                <c:pt idx="19">
                  <c:v>35</c:v>
                </c:pt>
                <c:pt idx="20">
                  <c:v>36</c:v>
                </c:pt>
                <c:pt idx="21">
                  <c:v>37</c:v>
                </c:pt>
                <c:pt idx="22">
                  <c:v>38</c:v>
                </c:pt>
                <c:pt idx="23">
                  <c:v>39</c:v>
                </c:pt>
                <c:pt idx="24">
                  <c:v>40</c:v>
                </c:pt>
                <c:pt idx="25">
                  <c:v>41</c:v>
                </c:pt>
                <c:pt idx="26">
                  <c:v>42</c:v>
                </c:pt>
                <c:pt idx="27">
                  <c:v>43</c:v>
                </c:pt>
                <c:pt idx="28">
                  <c:v>44</c:v>
                </c:pt>
                <c:pt idx="29">
                  <c:v>45</c:v>
                </c:pt>
                <c:pt idx="30">
                  <c:v>46</c:v>
                </c:pt>
                <c:pt idx="31">
                  <c:v>47</c:v>
                </c:pt>
                <c:pt idx="32">
                  <c:v>48</c:v>
                </c:pt>
                <c:pt idx="33">
                  <c:v>49</c:v>
                </c:pt>
                <c:pt idx="34">
                  <c:v>50</c:v>
                </c:pt>
                <c:pt idx="35">
                  <c:v>51</c:v>
                </c:pt>
                <c:pt idx="36">
                  <c:v>52</c:v>
                </c:pt>
                <c:pt idx="37">
                  <c:v>53</c:v>
                </c:pt>
                <c:pt idx="38">
                  <c:v>54</c:v>
                </c:pt>
                <c:pt idx="39">
                  <c:v>55</c:v>
                </c:pt>
                <c:pt idx="40">
                  <c:v>56</c:v>
                </c:pt>
                <c:pt idx="41">
                  <c:v>57</c:v>
                </c:pt>
                <c:pt idx="42">
                  <c:v>58</c:v>
                </c:pt>
                <c:pt idx="43">
                  <c:v>59</c:v>
                </c:pt>
                <c:pt idx="44">
                  <c:v>60</c:v>
                </c:pt>
                <c:pt idx="45">
                  <c:v>61</c:v>
                </c:pt>
                <c:pt idx="46">
                  <c:v>62</c:v>
                </c:pt>
                <c:pt idx="47">
                  <c:v>63</c:v>
                </c:pt>
                <c:pt idx="48">
                  <c:v>64</c:v>
                </c:pt>
                <c:pt idx="49">
                  <c:v>65</c:v>
                </c:pt>
                <c:pt idx="50">
                  <c:v>66</c:v>
                </c:pt>
                <c:pt idx="51">
                  <c:v>67</c:v>
                </c:pt>
                <c:pt idx="52">
                  <c:v>68</c:v>
                </c:pt>
                <c:pt idx="53">
                  <c:v>69</c:v>
                </c:pt>
                <c:pt idx="54" formatCode="0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318208"/>
        <c:axId val="98319744"/>
      </c:scatterChart>
      <c:valAx>
        <c:axId val="98318208"/>
        <c:scaling>
          <c:orientation val="minMax"/>
          <c:max val="1055"/>
          <c:min val="380"/>
        </c:scaling>
        <c:delete val="0"/>
        <c:axPos val="b"/>
        <c:minorGridlines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8319744"/>
        <c:crosses val="autoZero"/>
        <c:crossBetween val="midCat"/>
        <c:majorUnit val="30"/>
      </c:valAx>
      <c:valAx>
        <c:axId val="98319744"/>
        <c:scaling>
          <c:orientation val="minMax"/>
          <c:max val="7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8318208"/>
        <c:crossesAt val="300"/>
        <c:crossBetween val="midCat"/>
        <c:majorUnit val="2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9814946020209412"/>
          <c:y val="0.67787247182337507"/>
          <c:w val="0.13532004305428191"/>
          <c:h val="0.163865882406041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" r="0.75" t="1" header="0.5" footer="0.5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5185339238533053E-2"/>
          <c:y val="0.10504223231156511"/>
          <c:w val="0.56481583625549092"/>
          <c:h val="0.7226905583035679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trendlineType val="power"/>
            <c:dispRSqr val="1"/>
            <c:dispEq val="1"/>
            <c:trendlineLbl>
              <c:layout>
                <c:manualLayout>
                  <c:x val="-1.8817217646581841E-2"/>
                  <c:y val="-0.54824323430159461"/>
                </c:manualLayout>
              </c:layout>
              <c:numFmt formatCode="General" sourceLinked="0"/>
            </c:trendlineLbl>
          </c:trendline>
          <c:yVal>
            <c:numRef>
              <c:f>Классификация!$E$18:$L$18</c:f>
              <c:numCache>
                <c:formatCode>General</c:formatCode>
                <c:ptCount val="8"/>
                <c:pt idx="0" formatCode="0.000">
                  <c:v>0.69</c:v>
                </c:pt>
                <c:pt idx="1">
                  <c:v>0.52</c:v>
                </c:pt>
                <c:pt idx="2">
                  <c:v>0.44</c:v>
                </c:pt>
                <c:pt idx="3">
                  <c:v>0.38500000000000001</c:v>
                </c:pt>
                <c:pt idx="4">
                  <c:v>0.35</c:v>
                </c:pt>
                <c:pt idx="5">
                  <c:v>0.32300000000000001</c:v>
                </c:pt>
                <c:pt idx="7">
                  <c:v>0.28999999999999998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136256"/>
        <c:axId val="99137792"/>
      </c:scatterChart>
      <c:valAx>
        <c:axId val="99136256"/>
        <c:scaling>
          <c:orientation val="minMax"/>
          <c:max val="8"/>
          <c:min val="0"/>
        </c:scaling>
        <c:delete val="0"/>
        <c:axPos val="b"/>
        <c:minorGridlines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9137792"/>
        <c:crosses val="autoZero"/>
        <c:crossBetween val="midCat"/>
        <c:majorUnit val="1"/>
      </c:valAx>
      <c:valAx>
        <c:axId val="99137792"/>
        <c:scaling>
          <c:orientation val="minMax"/>
          <c:max val="1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99136256"/>
        <c:crosses val="autoZero"/>
        <c:crossBetween val="midCat"/>
        <c:majorUnit val="0.1"/>
        <c:minorUnit val="1.0000000000000002E-2"/>
      </c:valAx>
      <c:spPr>
        <a:solidFill>
          <a:sysClr val="window" lastClr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9814946020209412"/>
          <c:y val="0.67787247182337507"/>
          <c:w val="0.13532004305428191"/>
          <c:h val="0.163865882406041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  <c:printSettings>
    <c:headerFooter alignWithMargins="0"/>
    <c:pageMargins b="1" l="0.75" r="0.75" t="1" header="0.5" footer="0.5"/>
    <c:pageSetup/>
  </c:printSettings>
  <c:userShapes r:id="rId2"/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8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19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0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1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2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3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4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5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6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7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8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29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0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1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2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3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8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49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0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1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2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3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4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5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6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</xdr:row>
      <xdr:rowOff>66675</xdr:rowOff>
    </xdr:from>
    <xdr:to>
      <xdr:col>6</xdr:col>
      <xdr:colOff>47625</xdr:colOff>
      <xdr:row>20</xdr:row>
      <xdr:rowOff>66675</xdr:rowOff>
    </xdr:to>
    <xdr:sp macro="" textlink="">
      <xdr:nvSpPr>
        <xdr:cNvPr id="357" name="Line 158"/>
        <xdr:cNvSpPr>
          <a:spLocks noChangeShapeType="1"/>
        </xdr:cNvSpPr>
      </xdr:nvSpPr>
      <xdr:spPr bwMode="auto">
        <a:xfrm>
          <a:off x="4371975" y="4067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7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7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7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7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8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89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0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1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2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3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4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5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6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7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8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599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0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1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2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3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4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5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6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7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8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49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50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51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52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51</xdr:row>
      <xdr:rowOff>66675</xdr:rowOff>
    </xdr:from>
    <xdr:to>
      <xdr:col>6</xdr:col>
      <xdr:colOff>47625</xdr:colOff>
      <xdr:row>51</xdr:row>
      <xdr:rowOff>66675</xdr:rowOff>
    </xdr:to>
    <xdr:sp macro="" textlink="">
      <xdr:nvSpPr>
        <xdr:cNvPr id="6053" name="Line 158"/>
        <xdr:cNvSpPr>
          <a:spLocks noChangeShapeType="1"/>
        </xdr:cNvSpPr>
      </xdr:nvSpPr>
      <xdr:spPr bwMode="auto">
        <a:xfrm>
          <a:off x="4381500" y="86610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4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82</xdr:row>
      <xdr:rowOff>66675</xdr:rowOff>
    </xdr:from>
    <xdr:to>
      <xdr:col>6</xdr:col>
      <xdr:colOff>47625</xdr:colOff>
      <xdr:row>82</xdr:row>
      <xdr:rowOff>66675</xdr:rowOff>
    </xdr:to>
    <xdr:sp macro="" textlink="">
      <xdr:nvSpPr>
        <xdr:cNvPr id="65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5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6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113</xdr:row>
      <xdr:rowOff>66675</xdr:rowOff>
    </xdr:from>
    <xdr:to>
      <xdr:col>6</xdr:col>
      <xdr:colOff>47625</xdr:colOff>
      <xdr:row>113</xdr:row>
      <xdr:rowOff>66675</xdr:rowOff>
    </xdr:to>
    <xdr:sp macro="" textlink="">
      <xdr:nvSpPr>
        <xdr:cNvPr id="67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4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5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6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7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8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699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0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1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2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3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4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5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6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7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8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09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0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2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3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4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5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6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7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8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19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20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144</xdr:row>
      <xdr:rowOff>66675</xdr:rowOff>
    </xdr:from>
    <xdr:to>
      <xdr:col>6</xdr:col>
      <xdr:colOff>47625</xdr:colOff>
      <xdr:row>144</xdr:row>
      <xdr:rowOff>66675</xdr:rowOff>
    </xdr:to>
    <xdr:sp macro="" textlink="">
      <xdr:nvSpPr>
        <xdr:cNvPr id="7121" name="Line 158"/>
        <xdr:cNvSpPr>
          <a:spLocks noChangeShapeType="1"/>
        </xdr:cNvSpPr>
      </xdr:nvSpPr>
      <xdr:spPr bwMode="auto">
        <a:xfrm>
          <a:off x="4381500" y="5117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1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2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3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175</xdr:row>
      <xdr:rowOff>66675</xdr:rowOff>
    </xdr:from>
    <xdr:to>
      <xdr:col>6</xdr:col>
      <xdr:colOff>47625</xdr:colOff>
      <xdr:row>175</xdr:row>
      <xdr:rowOff>66675</xdr:rowOff>
    </xdr:to>
    <xdr:sp macro="" textlink="">
      <xdr:nvSpPr>
        <xdr:cNvPr id="74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6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6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7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3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1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2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3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4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5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6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7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4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1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2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3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206</xdr:row>
      <xdr:rowOff>66675</xdr:rowOff>
    </xdr:from>
    <xdr:to>
      <xdr:col>6</xdr:col>
      <xdr:colOff>47625</xdr:colOff>
      <xdr:row>206</xdr:row>
      <xdr:rowOff>66675</xdr:rowOff>
    </xdr:to>
    <xdr:sp macro="" textlink="">
      <xdr:nvSpPr>
        <xdr:cNvPr id="85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5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6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237</xdr:row>
      <xdr:rowOff>66675</xdr:rowOff>
    </xdr:from>
    <xdr:to>
      <xdr:col>6</xdr:col>
      <xdr:colOff>47625</xdr:colOff>
      <xdr:row>237</xdr:row>
      <xdr:rowOff>66675</xdr:rowOff>
    </xdr:to>
    <xdr:sp macro="" textlink="">
      <xdr:nvSpPr>
        <xdr:cNvPr id="87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7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0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1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2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3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4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5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6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7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8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2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3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4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5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6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7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8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899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900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268</xdr:row>
      <xdr:rowOff>66675</xdr:rowOff>
    </xdr:from>
    <xdr:to>
      <xdr:col>6</xdr:col>
      <xdr:colOff>47625</xdr:colOff>
      <xdr:row>268</xdr:row>
      <xdr:rowOff>66675</xdr:rowOff>
    </xdr:to>
    <xdr:sp macro="" textlink="">
      <xdr:nvSpPr>
        <xdr:cNvPr id="8901" name="Line 158"/>
        <xdr:cNvSpPr>
          <a:spLocks noChangeShapeType="1"/>
        </xdr:cNvSpPr>
      </xdr:nvSpPr>
      <xdr:spPr bwMode="auto">
        <a:xfrm>
          <a:off x="4381500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0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1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2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3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4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5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6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7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1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1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2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3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4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299</xdr:row>
      <xdr:rowOff>66675</xdr:rowOff>
    </xdr:from>
    <xdr:to>
      <xdr:col>6</xdr:col>
      <xdr:colOff>47625</xdr:colOff>
      <xdr:row>299</xdr:row>
      <xdr:rowOff>66675</xdr:rowOff>
    </xdr:to>
    <xdr:sp macro="" textlink="">
      <xdr:nvSpPr>
        <xdr:cNvPr id="925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4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5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6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7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7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1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2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3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4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5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6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7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8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89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8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09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0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1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2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3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4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5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6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330</xdr:row>
      <xdr:rowOff>66675</xdr:rowOff>
    </xdr:from>
    <xdr:to>
      <xdr:col>6</xdr:col>
      <xdr:colOff>47625</xdr:colOff>
      <xdr:row>330</xdr:row>
      <xdr:rowOff>66675</xdr:rowOff>
    </xdr:to>
    <xdr:sp macro="" textlink="">
      <xdr:nvSpPr>
        <xdr:cNvPr id="3917" name="Line 158"/>
        <xdr:cNvSpPr>
          <a:spLocks noChangeShapeType="1"/>
        </xdr:cNvSpPr>
      </xdr:nvSpPr>
      <xdr:spPr bwMode="auto">
        <a:xfrm>
          <a:off x="4381500" y="1574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09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09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09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09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0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1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2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3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4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5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6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7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8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19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0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1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2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3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4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5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4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5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6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7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8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69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70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71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72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47625</xdr:colOff>
      <xdr:row>361</xdr:row>
      <xdr:rowOff>66675</xdr:rowOff>
    </xdr:from>
    <xdr:to>
      <xdr:col>6</xdr:col>
      <xdr:colOff>47625</xdr:colOff>
      <xdr:row>361</xdr:row>
      <xdr:rowOff>66675</xdr:rowOff>
    </xdr:to>
    <xdr:sp macro="" textlink="">
      <xdr:nvSpPr>
        <xdr:cNvPr id="4273" name="Line 158"/>
        <xdr:cNvSpPr>
          <a:spLocks noChangeShapeType="1"/>
        </xdr:cNvSpPr>
      </xdr:nvSpPr>
      <xdr:spPr bwMode="auto">
        <a:xfrm>
          <a:off x="4381500" y="3914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45118</xdr:colOff>
      <xdr:row>2</xdr:row>
      <xdr:rowOff>20993</xdr:rowOff>
    </xdr:from>
    <xdr:to>
      <xdr:col>26</xdr:col>
      <xdr:colOff>223400</xdr:colOff>
      <xdr:row>17</xdr:row>
      <xdr:rowOff>1943</xdr:rowOff>
    </xdr:to>
    <xdr:graphicFrame macro="">
      <xdr:nvGraphicFramePr>
        <xdr:cNvPr id="6" name="Диаграмма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476250</xdr:colOff>
      <xdr:row>19</xdr:row>
      <xdr:rowOff>75197</xdr:rowOff>
    </xdr:from>
    <xdr:to>
      <xdr:col>26</xdr:col>
      <xdr:colOff>158229</xdr:colOff>
      <xdr:row>31</xdr:row>
      <xdr:rowOff>56147</xdr:rowOff>
    </xdr:to>
    <xdr:graphicFrame macro="">
      <xdr:nvGraphicFramePr>
        <xdr:cNvPr id="4" name="Диаграмма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0.49681</cdr:x>
      <cdr:y>0.50335</cdr:y>
    </cdr:from>
    <cdr:to>
      <cdr:x>0.52086</cdr:x>
      <cdr:y>0.58049</cdr:y>
    </cdr:to>
    <cdr:sp macro="" textlink="">
      <cdr:nvSpPr>
        <cdr:cNvPr id="215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63250" y="1149047"/>
          <a:ext cx="123915" cy="1755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ru-RU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0.49681</cdr:x>
      <cdr:y>0.50335</cdr:y>
    </cdr:from>
    <cdr:to>
      <cdr:x>0.52086</cdr:x>
      <cdr:y>0.58049</cdr:y>
    </cdr:to>
    <cdr:sp macro="" textlink="">
      <cdr:nvSpPr>
        <cdr:cNvPr id="215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63250" y="1149047"/>
          <a:ext cx="123915" cy="1755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ru-RU"/>
        </a:p>
      </cdr:txBody>
    </cdr:sp>
  </cdr:relSizeAnchor>
</c:userShape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Стандартная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Стандартная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1"/>
  <sheetViews>
    <sheetView topLeftCell="A354" workbookViewId="0">
      <selection activeCell="D345" sqref="D345:E345"/>
    </sheetView>
  </sheetViews>
  <sheetFormatPr defaultRowHeight="15" x14ac:dyDescent="0.25"/>
  <cols>
    <col min="2" max="2" width="11.42578125" customWidth="1"/>
    <col min="3" max="3" width="12.42578125" customWidth="1"/>
    <col min="4" max="4" width="12.5703125" customWidth="1"/>
    <col min="5" max="5" width="9" customWidth="1"/>
    <col min="6" max="6" width="10.42578125" customWidth="1"/>
    <col min="7" max="7" width="9" customWidth="1"/>
    <col min="9" max="9" width="10.85546875" customWidth="1"/>
    <col min="10" max="10" width="12" customWidth="1"/>
    <col min="11" max="11" width="7" customWidth="1"/>
    <col min="12" max="12" width="11.7109375" customWidth="1"/>
    <col min="13" max="13" width="11.28515625" customWidth="1"/>
    <col min="14" max="14" width="9" customWidth="1"/>
    <col min="15" max="15" width="9.42578125" customWidth="1"/>
    <col min="16" max="16" width="9.5703125" customWidth="1"/>
    <col min="17" max="17" width="13.42578125" customWidth="1"/>
    <col min="18" max="18" width="6.85546875" customWidth="1"/>
  </cols>
  <sheetData>
    <row r="1" spans="1:18" ht="15.75" thickBot="1" x14ac:dyDescent="0.3">
      <c r="A1" s="127" t="s">
        <v>0</v>
      </c>
      <c r="B1" s="128"/>
      <c r="C1" s="128"/>
      <c r="D1" s="128"/>
      <c r="E1" s="129"/>
      <c r="F1" s="130" t="s">
        <v>1</v>
      </c>
      <c r="G1" s="131"/>
      <c r="H1" s="132"/>
      <c r="I1" s="1" t="str">
        <f>CONCATENATE(B3,".01")</f>
        <v>.01</v>
      </c>
      <c r="J1" s="2" t="s">
        <v>2</v>
      </c>
      <c r="K1" s="133" t="s">
        <v>3</v>
      </c>
      <c r="L1" s="134"/>
      <c r="M1" s="135"/>
      <c r="N1" s="3" t="str">
        <f>I1</f>
        <v>.01</v>
      </c>
      <c r="O1" s="136" t="s">
        <v>4</v>
      </c>
      <c r="P1" s="137"/>
      <c r="Q1" s="138"/>
      <c r="R1" s="4" t="s">
        <v>5</v>
      </c>
    </row>
    <row r="2" spans="1:18" x14ac:dyDescent="0.25">
      <c r="A2" s="139"/>
      <c r="B2" s="140"/>
      <c r="C2" s="141"/>
      <c r="D2" s="142" t="s">
        <v>6</v>
      </c>
      <c r="E2" s="143"/>
      <c r="F2" s="144" t="s">
        <v>7</v>
      </c>
      <c r="G2" s="145"/>
      <c r="H2" s="145"/>
      <c r="I2" s="145"/>
      <c r="J2" s="146"/>
      <c r="K2" s="147" t="s">
        <v>8</v>
      </c>
      <c r="L2" s="148"/>
      <c r="M2" s="148"/>
      <c r="N2" s="149"/>
      <c r="O2" s="150" t="s">
        <v>9</v>
      </c>
      <c r="P2" s="151"/>
      <c r="Q2" s="151"/>
      <c r="R2" s="152"/>
    </row>
    <row r="3" spans="1:18" x14ac:dyDescent="0.25">
      <c r="A3" s="5" t="s">
        <v>10</v>
      </c>
      <c r="B3" s="6"/>
      <c r="C3" s="7"/>
      <c r="D3" s="157" t="e">
        <f>INT(457468*H17^(-1.475))</f>
        <v>#DIV/0!</v>
      </c>
      <c r="E3" s="158"/>
      <c r="F3" s="8" t="s">
        <v>11</v>
      </c>
      <c r="G3" s="9"/>
      <c r="H3" s="159"/>
      <c r="I3" s="160"/>
      <c r="J3" s="161"/>
      <c r="K3" s="10" t="s">
        <v>12</v>
      </c>
      <c r="L3" s="11"/>
      <c r="M3" s="162"/>
      <c r="N3" s="163"/>
      <c r="O3" s="12" t="s">
        <v>13</v>
      </c>
      <c r="P3" s="13"/>
      <c r="Q3" s="14" t="s">
        <v>14</v>
      </c>
      <c r="R3" s="15"/>
    </row>
    <row r="4" spans="1:18" x14ac:dyDescent="0.25">
      <c r="A4" s="164"/>
      <c r="B4" s="165"/>
      <c r="C4" s="16"/>
      <c r="D4" s="157" t="s">
        <v>216</v>
      </c>
      <c r="E4" s="158"/>
      <c r="F4" s="166" t="s">
        <v>15</v>
      </c>
      <c r="G4" s="167"/>
      <c r="H4" s="159"/>
      <c r="I4" s="160"/>
      <c r="J4" s="161"/>
      <c r="K4" s="10" t="s">
        <v>16</v>
      </c>
      <c r="L4" s="17"/>
      <c r="M4" s="18" t="s">
        <v>17</v>
      </c>
      <c r="N4" s="19"/>
      <c r="O4" s="20" t="s">
        <v>18</v>
      </c>
      <c r="P4" s="21"/>
      <c r="Q4" s="22" t="s">
        <v>19</v>
      </c>
      <c r="R4" s="23"/>
    </row>
    <row r="5" spans="1:18" x14ac:dyDescent="0.25">
      <c r="A5" s="174" t="s">
        <v>20</v>
      </c>
      <c r="B5" s="175"/>
      <c r="C5" s="176"/>
      <c r="D5" s="125" t="s">
        <v>21</v>
      </c>
      <c r="E5" s="126"/>
      <c r="F5" s="166" t="s">
        <v>22</v>
      </c>
      <c r="G5" s="167"/>
      <c r="H5" s="159"/>
      <c r="I5" s="160"/>
      <c r="J5" s="161"/>
      <c r="K5" s="10" t="s">
        <v>23</v>
      </c>
      <c r="L5" s="17"/>
      <c r="M5" s="18" t="s">
        <v>24</v>
      </c>
      <c r="N5" s="19"/>
      <c r="O5" s="20" t="s">
        <v>25</v>
      </c>
      <c r="P5" s="21"/>
      <c r="Q5" s="22" t="s">
        <v>26</v>
      </c>
      <c r="R5" s="23"/>
    </row>
    <row r="6" spans="1:18" ht="15.75" thickBot="1" x14ac:dyDescent="0.3">
      <c r="A6" s="174" t="s">
        <v>27</v>
      </c>
      <c r="B6" s="175"/>
      <c r="C6" s="176"/>
      <c r="D6" s="177" t="s">
        <v>28</v>
      </c>
      <c r="E6" s="149"/>
      <c r="F6" s="224" t="s">
        <v>29</v>
      </c>
      <c r="G6" s="225"/>
      <c r="H6" s="173"/>
      <c r="I6" s="178"/>
      <c r="J6" s="226"/>
      <c r="K6" s="24" t="s">
        <v>30</v>
      </c>
      <c r="L6" s="17"/>
      <c r="M6" s="25" t="s">
        <v>31</v>
      </c>
      <c r="N6" s="19"/>
      <c r="O6" s="26" t="s">
        <v>32</v>
      </c>
      <c r="P6" s="27"/>
      <c r="Q6" s="28" t="s">
        <v>33</v>
      </c>
      <c r="R6" s="29"/>
    </row>
    <row r="7" spans="1:18" x14ac:dyDescent="0.25">
      <c r="A7" s="174" t="s">
        <v>34</v>
      </c>
      <c r="B7" s="175"/>
      <c r="C7" s="176"/>
      <c r="D7" s="177" t="s">
        <v>35</v>
      </c>
      <c r="E7" s="149"/>
      <c r="F7" s="166" t="s">
        <v>36</v>
      </c>
      <c r="G7" s="167"/>
      <c r="H7" s="173"/>
      <c r="I7" s="178"/>
      <c r="J7" s="179"/>
      <c r="K7" s="180" t="s">
        <v>37</v>
      </c>
      <c r="L7" s="181"/>
      <c r="M7" s="181"/>
      <c r="N7" s="181"/>
      <c r="O7" s="181"/>
      <c r="P7" s="181"/>
      <c r="Q7" s="181"/>
      <c r="R7" s="182"/>
    </row>
    <row r="8" spans="1:18" x14ac:dyDescent="0.25">
      <c r="A8" s="147" t="s">
        <v>35</v>
      </c>
      <c r="B8" s="148"/>
      <c r="C8" s="183"/>
      <c r="D8" s="184"/>
      <c r="E8" s="185"/>
      <c r="F8" s="166" t="s">
        <v>38</v>
      </c>
      <c r="G8" s="167"/>
      <c r="H8" s="186"/>
      <c r="I8" s="186"/>
      <c r="J8" s="30">
        <f>IF(H9="Подвесной мотор",0,IF(H8="Литой",0.005,0))</f>
        <v>0</v>
      </c>
      <c r="K8" s="31" t="s">
        <v>39</v>
      </c>
      <c r="L8" s="32"/>
      <c r="M8" s="33" t="s">
        <v>40</v>
      </c>
      <c r="N8" s="34"/>
      <c r="O8" s="18" t="s">
        <v>41</v>
      </c>
      <c r="P8" s="35" t="e">
        <f>L8*L12*N13*0.0175/N8</f>
        <v>#DIV/0!</v>
      </c>
      <c r="Q8" s="187"/>
      <c r="R8" s="188"/>
    </row>
    <row r="9" spans="1:18" ht="15.75" thickBot="1" x14ac:dyDescent="0.3">
      <c r="A9" s="168"/>
      <c r="B9" s="169"/>
      <c r="C9" s="170"/>
      <c r="D9" s="171"/>
      <c r="E9" s="172"/>
      <c r="F9" s="166" t="s">
        <v>42</v>
      </c>
      <c r="G9" s="167"/>
      <c r="H9" s="173"/>
      <c r="I9" s="173"/>
      <c r="J9" s="30" t="str">
        <f>IF(H9="Без двигателя",1,IF(H9="Подвесной мотор",0.995,IF(H9="Привод в кронштейне",0.99,IF(H9="Открытый вал",0.98,IF(H9="Закрытый вал",0.97,IF(H9="В вырезе",0.96,"Установка ? "))))))</f>
        <v xml:space="preserve">Установка ? </v>
      </c>
      <c r="K9" s="31" t="s">
        <v>43</v>
      </c>
      <c r="L9" s="32"/>
      <c r="M9" s="33" t="s">
        <v>44</v>
      </c>
      <c r="N9" s="34"/>
      <c r="O9" s="18" t="s">
        <v>45</v>
      </c>
      <c r="P9" s="35" t="e">
        <f>L9*L12*N13*0.0175/N9</f>
        <v>#DIV/0!</v>
      </c>
      <c r="Q9" s="189"/>
      <c r="R9" s="190"/>
    </row>
    <row r="10" spans="1:18" x14ac:dyDescent="0.25">
      <c r="A10" s="36"/>
      <c r="B10" s="37"/>
      <c r="C10" s="37"/>
      <c r="D10" s="37"/>
      <c r="E10" s="37"/>
      <c r="F10" s="144" t="s">
        <v>46</v>
      </c>
      <c r="G10" s="153"/>
      <c r="H10" s="154"/>
      <c r="I10" s="155"/>
      <c r="J10" s="156"/>
      <c r="K10" s="38" t="s">
        <v>47</v>
      </c>
      <c r="L10" s="32"/>
      <c r="M10" s="33" t="s">
        <v>48</v>
      </c>
      <c r="N10" s="34"/>
      <c r="O10" s="18" t="s">
        <v>49</v>
      </c>
      <c r="P10" s="35" t="e">
        <f>L10*L12*N13*0.0175/N10</f>
        <v>#DIV/0!</v>
      </c>
      <c r="Q10" s="189"/>
      <c r="R10" s="190"/>
    </row>
    <row r="11" spans="1:18" x14ac:dyDescent="0.25">
      <c r="A11" s="36"/>
      <c r="B11" s="37"/>
      <c r="C11" s="37"/>
      <c r="D11" s="37"/>
      <c r="E11" s="37"/>
      <c r="F11" s="39"/>
      <c r="G11" s="37"/>
      <c r="H11" s="37"/>
      <c r="I11" s="37"/>
      <c r="J11" s="37"/>
      <c r="K11" s="38" t="s">
        <v>50</v>
      </c>
      <c r="L11" s="40"/>
      <c r="M11" s="33" t="s">
        <v>51</v>
      </c>
      <c r="N11" s="34"/>
      <c r="O11" s="18" t="s">
        <v>52</v>
      </c>
      <c r="P11" s="35" t="e">
        <f>L11*L12*N13*0.0175/N11</f>
        <v>#DIV/0!</v>
      </c>
      <c r="Q11" s="189"/>
      <c r="R11" s="190"/>
    </row>
    <row r="12" spans="1:18" x14ac:dyDescent="0.25">
      <c r="A12" s="197" t="s">
        <v>53</v>
      </c>
      <c r="B12" s="198"/>
      <c r="C12" s="41"/>
      <c r="D12" s="41"/>
      <c r="E12" s="41"/>
      <c r="F12" s="42"/>
      <c r="G12" s="41"/>
      <c r="H12" s="41"/>
      <c r="I12" s="41"/>
      <c r="J12" s="41"/>
      <c r="K12" s="31" t="s">
        <v>54</v>
      </c>
      <c r="L12" s="43"/>
      <c r="M12" s="33" t="s">
        <v>55</v>
      </c>
      <c r="N12" s="34"/>
      <c r="O12" s="18" t="s">
        <v>56</v>
      </c>
      <c r="P12" s="44" t="e">
        <f>AVERAGE(P8:P11)</f>
        <v>#DIV/0!</v>
      </c>
      <c r="Q12" s="189"/>
      <c r="R12" s="190"/>
    </row>
    <row r="13" spans="1:18" x14ac:dyDescent="0.25">
      <c r="A13" s="199"/>
      <c r="B13" s="200"/>
      <c r="C13" s="200"/>
      <c r="D13" s="200"/>
      <c r="E13" s="200"/>
      <c r="F13" s="200"/>
      <c r="G13" s="200"/>
      <c r="H13" s="200"/>
      <c r="I13" s="200"/>
      <c r="J13" s="201"/>
      <c r="K13" s="45" t="s">
        <v>57</v>
      </c>
      <c r="L13" s="34"/>
      <c r="M13" s="33" t="s">
        <v>58</v>
      </c>
      <c r="N13" s="46" t="e">
        <f>N12/(1+L13/L14)</f>
        <v>#DIV/0!</v>
      </c>
      <c r="O13" s="47" t="s">
        <v>59</v>
      </c>
      <c r="P13" s="48" t="e">
        <f>3.281*((0.03*B17*B18^3*1025.8-54*P12)/L3-0.0625*B17)+0.25</f>
        <v>#DIV/0!</v>
      </c>
      <c r="Q13" s="191"/>
      <c r="R13" s="192"/>
    </row>
    <row r="14" spans="1:18" ht="15.75" thickBot="1" x14ac:dyDescent="0.3">
      <c r="A14" s="202"/>
      <c r="B14" s="203"/>
      <c r="C14" s="203"/>
      <c r="D14" s="203"/>
      <c r="E14" s="203"/>
      <c r="F14" s="203"/>
      <c r="G14" s="203"/>
      <c r="H14" s="203"/>
      <c r="I14" s="203"/>
      <c r="J14" s="204"/>
      <c r="K14" s="49" t="s">
        <v>60</v>
      </c>
      <c r="L14" s="50"/>
      <c r="M14" s="205" t="s">
        <v>61</v>
      </c>
      <c r="N14" s="206"/>
      <c r="O14" s="206"/>
      <c r="P14" s="207"/>
      <c r="Q14" s="208"/>
      <c r="R14" s="208"/>
    </row>
    <row r="15" spans="1:18" x14ac:dyDescent="0.25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1"/>
      <c r="K15" s="180" t="s">
        <v>63</v>
      </c>
      <c r="L15" s="181"/>
      <c r="M15" s="181"/>
      <c r="N15" s="181"/>
      <c r="O15" s="181"/>
      <c r="P15" s="181"/>
      <c r="Q15" s="181"/>
      <c r="R15" s="182"/>
    </row>
    <row r="16" spans="1:18" x14ac:dyDescent="0.25">
      <c r="A16" s="242" t="s">
        <v>64</v>
      </c>
      <c r="B16" s="243"/>
      <c r="C16" s="244" t="s">
        <v>65</v>
      </c>
      <c r="D16" s="245"/>
      <c r="E16" s="246" t="s">
        <v>66</v>
      </c>
      <c r="F16" s="247"/>
      <c r="G16" s="142" t="s">
        <v>67</v>
      </c>
      <c r="H16" s="250"/>
      <c r="I16" s="250"/>
      <c r="J16" s="143"/>
      <c r="K16" s="193" t="s">
        <v>68</v>
      </c>
      <c r="L16" s="194"/>
      <c r="M16" s="195" t="s">
        <v>69</v>
      </c>
      <c r="N16" s="196"/>
      <c r="O16" s="227" t="s">
        <v>70</v>
      </c>
      <c r="P16" s="194"/>
      <c r="Q16" s="195" t="s">
        <v>71</v>
      </c>
      <c r="R16" s="228"/>
    </row>
    <row r="17" spans="1:18" x14ac:dyDescent="0.25">
      <c r="A17" s="10" t="s">
        <v>72</v>
      </c>
      <c r="B17" s="44">
        <f>L4-L5-L6</f>
        <v>0</v>
      </c>
      <c r="C17" s="51" t="s">
        <v>73</v>
      </c>
      <c r="D17" s="52">
        <f>0.125*L17*(L19+2*L20+3*L21+2*L18)</f>
        <v>0</v>
      </c>
      <c r="E17" s="248"/>
      <c r="F17" s="249"/>
      <c r="G17" s="53" t="s">
        <v>74</v>
      </c>
      <c r="H17" s="54" t="e">
        <f>3600/(0.5*( D26+F26))</f>
        <v>#DIV/0!</v>
      </c>
      <c r="I17" s="55" t="s">
        <v>75</v>
      </c>
      <c r="J17" s="56" t="e">
        <f>I24</f>
        <v>#DIV/0!</v>
      </c>
      <c r="K17" s="10" t="s">
        <v>76</v>
      </c>
      <c r="L17" s="57"/>
      <c r="M17" s="18" t="s">
        <v>77</v>
      </c>
      <c r="N17" s="57"/>
      <c r="O17" s="18" t="s">
        <v>78</v>
      </c>
      <c r="P17" s="58"/>
      <c r="Q17" s="18" t="s">
        <v>79</v>
      </c>
      <c r="R17" s="59"/>
    </row>
    <row r="18" spans="1:18" x14ac:dyDescent="0.25">
      <c r="A18" s="10" t="s">
        <v>80</v>
      </c>
      <c r="B18" s="44">
        <f>N4-N5-N6</f>
        <v>0</v>
      </c>
      <c r="C18" s="18" t="s">
        <v>81</v>
      </c>
      <c r="D18" s="52">
        <f>N17*N18*0.5</f>
        <v>0</v>
      </c>
      <c r="E18" s="60" t="s">
        <v>82</v>
      </c>
      <c r="F18" s="61">
        <f>0.85*B17*B18</f>
        <v>0</v>
      </c>
      <c r="G18" s="62" t="s">
        <v>83</v>
      </c>
      <c r="H18" s="63" t="e">
        <f>3600/H17</f>
        <v>#DIV/0!</v>
      </c>
      <c r="I18" s="64" t="s">
        <v>84</v>
      </c>
      <c r="J18" s="56" t="e">
        <f>I25</f>
        <v>#DIV/0!</v>
      </c>
      <c r="K18" s="65" t="s">
        <v>85</v>
      </c>
      <c r="L18" s="57"/>
      <c r="M18" s="18" t="s">
        <v>86</v>
      </c>
      <c r="N18" s="57"/>
      <c r="O18" s="18" t="s">
        <v>87</v>
      </c>
      <c r="P18" s="58"/>
      <c r="Q18" s="18" t="s">
        <v>88</v>
      </c>
      <c r="R18" s="59"/>
    </row>
    <row r="19" spans="1:18" x14ac:dyDescent="0.25">
      <c r="A19" s="66" t="s">
        <v>89</v>
      </c>
      <c r="B19" s="67">
        <f>IF(H6&gt;2012,1,IF(H6&gt;2008,0.995,0.99))</f>
        <v>0.99</v>
      </c>
      <c r="C19" s="18" t="s">
        <v>90</v>
      </c>
      <c r="D19" s="52">
        <f>0.5*P19*P17+2*(P18-0.5*P19)*P17/3</f>
        <v>0</v>
      </c>
      <c r="E19" s="68"/>
      <c r="F19" s="69"/>
      <c r="G19" s="69"/>
      <c r="H19" s="69"/>
      <c r="I19" s="70"/>
      <c r="J19" s="71"/>
      <c r="K19" s="10" t="s">
        <v>91</v>
      </c>
      <c r="L19" s="72"/>
      <c r="M19" s="227"/>
      <c r="N19" s="194"/>
      <c r="O19" s="18" t="s">
        <v>92</v>
      </c>
      <c r="P19" s="73">
        <f>0.8*P18</f>
        <v>0</v>
      </c>
      <c r="Q19" s="18" t="s">
        <v>93</v>
      </c>
      <c r="R19" s="59"/>
    </row>
    <row r="20" spans="1:18" x14ac:dyDescent="0.25">
      <c r="A20" s="10" t="s">
        <v>94</v>
      </c>
      <c r="B20" s="35" t="e">
        <f>J9-J8</f>
        <v>#VALUE!</v>
      </c>
      <c r="C20" s="18" t="s">
        <v>95</v>
      </c>
      <c r="D20" s="52">
        <f>(0.5*(R17+R18)*(R19+4*R20))/6</f>
        <v>0</v>
      </c>
      <c r="E20" s="74"/>
      <c r="F20" s="74"/>
      <c r="G20" s="74"/>
      <c r="H20" s="74"/>
      <c r="I20" s="74"/>
      <c r="J20" s="74"/>
      <c r="K20" s="10" t="s">
        <v>96</v>
      </c>
      <c r="L20" s="75"/>
      <c r="M20" s="187"/>
      <c r="N20" s="229"/>
      <c r="O20" s="229"/>
      <c r="P20" s="230"/>
      <c r="Q20" s="18" t="s">
        <v>97</v>
      </c>
      <c r="R20" s="59"/>
    </row>
    <row r="21" spans="1:18" x14ac:dyDescent="0.25">
      <c r="A21" s="10" t="s">
        <v>98</v>
      </c>
      <c r="B21" s="67">
        <f>IF(H7="шверт",1.005,1)</f>
        <v>1</v>
      </c>
      <c r="C21" s="16" t="s">
        <v>99</v>
      </c>
      <c r="D21" s="76">
        <f>D17+MAX(D19,D18,D20)</f>
        <v>0</v>
      </c>
      <c r="E21" s="77"/>
      <c r="F21" s="78"/>
      <c r="G21" s="78"/>
      <c r="H21" s="78"/>
      <c r="I21" s="78"/>
      <c r="J21" s="78"/>
      <c r="K21" s="10" t="s">
        <v>100</v>
      </c>
      <c r="L21" s="75"/>
      <c r="M21" s="191"/>
      <c r="N21" s="231"/>
      <c r="O21" s="231"/>
      <c r="P21" s="232"/>
      <c r="Q21" s="227"/>
      <c r="R21" s="233"/>
    </row>
    <row r="22" spans="1:18" x14ac:dyDescent="0.25">
      <c r="A22" s="234"/>
      <c r="B22" s="235"/>
      <c r="C22" s="16" t="s">
        <v>101</v>
      </c>
      <c r="D22" s="79">
        <f>D17+D18</f>
        <v>0</v>
      </c>
      <c r="E22" s="236" t="s">
        <v>102</v>
      </c>
      <c r="F22" s="237"/>
      <c r="G22" s="237"/>
      <c r="H22" s="237"/>
      <c r="I22" s="238"/>
      <c r="J22" s="80" t="s">
        <v>103</v>
      </c>
      <c r="K22" s="239"/>
      <c r="L22" s="240"/>
      <c r="M22" s="240"/>
      <c r="N22" s="240"/>
      <c r="O22" s="240"/>
      <c r="P22" s="240"/>
      <c r="Q22" s="240"/>
      <c r="R22" s="241"/>
    </row>
    <row r="23" spans="1:18" ht="15.75" thickBot="1" x14ac:dyDescent="0.3">
      <c r="A23" s="212" t="s">
        <v>104</v>
      </c>
      <c r="B23" s="213"/>
      <c r="C23" s="81">
        <v>6</v>
      </c>
      <c r="D23" s="81">
        <v>8</v>
      </c>
      <c r="E23" s="81">
        <v>10</v>
      </c>
      <c r="F23" s="81">
        <v>12</v>
      </c>
      <c r="G23" s="81">
        <v>14</v>
      </c>
      <c r="H23" s="81">
        <v>16</v>
      </c>
      <c r="I23" s="82">
        <v>20</v>
      </c>
      <c r="J23" s="83" t="e">
        <f>AVERAGE(J24:J30)</f>
        <v>#DIV/0!</v>
      </c>
      <c r="K23" s="164" t="s">
        <v>105</v>
      </c>
      <c r="L23" s="165"/>
      <c r="M23" s="214" t="e">
        <f>IF(P13&gt;-0.25,"SV непригодно для категории гонок 0,1,2 и3"," ")</f>
        <v>#DIV/0!</v>
      </c>
      <c r="N23" s="215"/>
      <c r="O23" s="215"/>
      <c r="P23" s="215"/>
      <c r="Q23" s="215"/>
      <c r="R23" s="216"/>
    </row>
    <row r="24" spans="1:18" x14ac:dyDescent="0.25">
      <c r="A24" s="217" t="s">
        <v>106</v>
      </c>
      <c r="B24" s="218"/>
      <c r="C24" s="63" t="e">
        <f>SQRT(C23/I23)*I24</f>
        <v>#DIV/0!</v>
      </c>
      <c r="D24" s="63" t="e">
        <f>SQRT(D23/I23)*I24</f>
        <v>#DIV/0!</v>
      </c>
      <c r="E24" s="63" t="e">
        <f>SQRT(E23/I23)*I24</f>
        <v>#DIV/0!</v>
      </c>
      <c r="F24" s="63" t="e">
        <f>SQRT(F23/I23)*I24</f>
        <v>#DIV/0!</v>
      </c>
      <c r="G24" s="63" t="e">
        <f>SQRT(G23/I23)*I24</f>
        <v>#DIV/0!</v>
      </c>
      <c r="H24" s="63" t="e">
        <f>SQRT(H23/I23)*I24</f>
        <v>#DIV/0!</v>
      </c>
      <c r="I24" s="63" t="e">
        <f>(D22^(0.25)/((0.001*L3)^(1/6)))*SQRT(B17)*B19*B20</f>
        <v>#DIV/0!</v>
      </c>
      <c r="J24" s="84" t="e">
        <f t="shared" ref="J24:J30" si="0">AVERAGE(C24:I24)</f>
        <v>#DIV/0!</v>
      </c>
      <c r="K24" s="219" t="s">
        <v>107</v>
      </c>
      <c r="L24" s="220"/>
      <c r="M24" s="221"/>
      <c r="N24" s="222"/>
      <c r="O24" s="222"/>
      <c r="P24" s="222"/>
      <c r="Q24" s="222"/>
      <c r="R24" s="223"/>
    </row>
    <row r="25" spans="1:18" x14ac:dyDescent="0.25">
      <c r="A25" s="217" t="s">
        <v>108</v>
      </c>
      <c r="B25" s="218"/>
      <c r="C25" s="63" t="e">
        <f>SQRT(C23/I23)*SQRT(D21/(SQRT(0.9)*F18))*SQRT(B17)*B19*B20*B21</f>
        <v>#DIV/0!</v>
      </c>
      <c r="D25" s="63" t="e">
        <f>SQRT(D23/I23)*SQRT(D21/(0.6*F18))*SQRT(B17)*B19*B20*B21</f>
        <v>#DIV/0!</v>
      </c>
      <c r="E25" s="63" t="e">
        <f>SQRT(E23/I23)*SQRT(D21/(0.5*F18))*SQRT(B17)*B19*B20*B21</f>
        <v>#DIV/0!</v>
      </c>
      <c r="F25" s="63" t="e">
        <f>SQRT(F23/I23)*SQRT(D21/(0.41*F18))*SQRT(B17)*B19*B20*B21</f>
        <v>#DIV/0!</v>
      </c>
      <c r="G25" s="63" t="e">
        <f>SQRT(G23/I23)*SQRT(D21/(0.4*F18))*SQRT(B17)*B19*B20*B21</f>
        <v>#DIV/0!</v>
      </c>
      <c r="H25" s="63" t="e">
        <f>SQRT(H23/I23)*SQRT(D21/(0.39*F18))*SQRT(B17)*B19*B20*B21</f>
        <v>#DIV/0!</v>
      </c>
      <c r="I25" s="63" t="e">
        <f>SQRT(D21/(0.38*F18))*SQRT(B17)*B19*B20*B21</f>
        <v>#DIV/0!</v>
      </c>
      <c r="J25" s="84" t="e">
        <f t="shared" si="0"/>
        <v>#DIV/0!</v>
      </c>
      <c r="K25" s="85" t="s">
        <v>109</v>
      </c>
      <c r="L25" s="86"/>
      <c r="M25" s="87"/>
      <c r="N25" s="268"/>
      <c r="O25" s="269"/>
      <c r="P25" s="269"/>
      <c r="Q25" s="269"/>
      <c r="R25" s="270"/>
    </row>
    <row r="26" spans="1:18" x14ac:dyDescent="0.25">
      <c r="A26" s="251" t="s">
        <v>110</v>
      </c>
      <c r="B26" s="252"/>
      <c r="C26" s="63" t="e">
        <f>0.5*(C24+C25)</f>
        <v>#DIV/0!</v>
      </c>
      <c r="D26" s="63" t="e">
        <f t="shared" ref="D26:I26" si="1">0.5*(D24+D25)</f>
        <v>#DIV/0!</v>
      </c>
      <c r="E26" s="63" t="e">
        <f t="shared" si="1"/>
        <v>#DIV/0!</v>
      </c>
      <c r="F26" s="63" t="e">
        <f t="shared" si="1"/>
        <v>#DIV/0!</v>
      </c>
      <c r="G26" s="63" t="e">
        <f t="shared" si="1"/>
        <v>#DIV/0!</v>
      </c>
      <c r="H26" s="63" t="e">
        <f t="shared" si="1"/>
        <v>#DIV/0!</v>
      </c>
      <c r="I26" s="63" t="e">
        <f t="shared" si="1"/>
        <v>#DIV/0!</v>
      </c>
      <c r="J26" s="84" t="e">
        <f t="shared" si="0"/>
        <v>#DIV/0!</v>
      </c>
      <c r="K26" s="166" t="s">
        <v>111</v>
      </c>
      <c r="L26" s="167"/>
      <c r="M26" s="87"/>
      <c r="N26" s="271"/>
      <c r="O26" s="272"/>
      <c r="P26" s="272"/>
      <c r="Q26" s="272"/>
      <c r="R26" s="273"/>
    </row>
    <row r="27" spans="1:18" x14ac:dyDescent="0.25">
      <c r="A27" s="251" t="s">
        <v>112</v>
      </c>
      <c r="B27" s="252"/>
      <c r="C27" s="63" t="e">
        <f>0.85*C24+0.15*C25</f>
        <v>#DIV/0!</v>
      </c>
      <c r="D27" s="63" t="e">
        <f t="shared" ref="D27:I27" si="2">0.85*D24+0.15*D25</f>
        <v>#DIV/0!</v>
      </c>
      <c r="E27" s="63" t="e">
        <f t="shared" si="2"/>
        <v>#DIV/0!</v>
      </c>
      <c r="F27" s="63" t="e">
        <f t="shared" si="2"/>
        <v>#DIV/0!</v>
      </c>
      <c r="G27" s="63" t="e">
        <f t="shared" si="2"/>
        <v>#DIV/0!</v>
      </c>
      <c r="H27" s="63" t="e">
        <f t="shared" si="2"/>
        <v>#DIV/0!</v>
      </c>
      <c r="I27" s="63" t="e">
        <f t="shared" si="2"/>
        <v>#DIV/0!</v>
      </c>
      <c r="J27" s="84" t="e">
        <f t="shared" si="0"/>
        <v>#DIV/0!</v>
      </c>
      <c r="K27" s="224" t="s">
        <v>113</v>
      </c>
      <c r="L27" s="225"/>
      <c r="M27" s="184"/>
      <c r="N27" s="274"/>
      <c r="O27" s="274"/>
      <c r="P27" s="274"/>
      <c r="Q27" s="274"/>
      <c r="R27" s="185"/>
    </row>
    <row r="28" spans="1:18" x14ac:dyDescent="0.25">
      <c r="A28" s="251" t="s">
        <v>114</v>
      </c>
      <c r="B28" s="252"/>
      <c r="C28" s="63" t="e">
        <f>0.75*C24+0.25*C25</f>
        <v>#DIV/0!</v>
      </c>
      <c r="D28" s="63" t="e">
        <f t="shared" ref="D28:I28" si="3">0.75*D24+0.25*D25</f>
        <v>#DIV/0!</v>
      </c>
      <c r="E28" s="63" t="e">
        <f t="shared" si="3"/>
        <v>#DIV/0!</v>
      </c>
      <c r="F28" s="63" t="e">
        <f t="shared" si="3"/>
        <v>#DIV/0!</v>
      </c>
      <c r="G28" s="63" t="e">
        <f t="shared" si="3"/>
        <v>#DIV/0!</v>
      </c>
      <c r="H28" s="63" t="e">
        <f t="shared" si="3"/>
        <v>#DIV/0!</v>
      </c>
      <c r="I28" s="63" t="e">
        <f t="shared" si="3"/>
        <v>#DIV/0!</v>
      </c>
      <c r="J28" s="84" t="e">
        <f t="shared" si="0"/>
        <v>#DIV/0!</v>
      </c>
      <c r="K28" s="253"/>
      <c r="L28" s="254"/>
      <c r="M28" s="254"/>
      <c r="N28" s="254"/>
      <c r="O28" s="254"/>
      <c r="P28" s="254"/>
      <c r="Q28" s="254"/>
      <c r="R28" s="255"/>
    </row>
    <row r="29" spans="1:18" x14ac:dyDescent="0.25">
      <c r="A29" s="259" t="s">
        <v>115</v>
      </c>
      <c r="B29" s="260"/>
      <c r="C29" s="63" t="e">
        <f>0.25*C24+0.75*C25</f>
        <v>#DIV/0!</v>
      </c>
      <c r="D29" s="63" t="e">
        <f t="shared" ref="D29:I29" si="4">0.25*D24+0.75*D25</f>
        <v>#DIV/0!</v>
      </c>
      <c r="E29" s="63" t="e">
        <f t="shared" si="4"/>
        <v>#DIV/0!</v>
      </c>
      <c r="F29" s="63" t="e">
        <f t="shared" si="4"/>
        <v>#DIV/0!</v>
      </c>
      <c r="G29" s="63" t="e">
        <f t="shared" si="4"/>
        <v>#DIV/0!</v>
      </c>
      <c r="H29" s="63" t="e">
        <f t="shared" si="4"/>
        <v>#DIV/0!</v>
      </c>
      <c r="I29" s="63" t="e">
        <f t="shared" si="4"/>
        <v>#DIV/0!</v>
      </c>
      <c r="J29" s="84" t="e">
        <f t="shared" si="0"/>
        <v>#DIV/0!</v>
      </c>
      <c r="K29" s="256"/>
      <c r="L29" s="257"/>
      <c r="M29" s="257"/>
      <c r="N29" s="257"/>
      <c r="O29" s="257"/>
      <c r="P29" s="257"/>
      <c r="Q29" s="257"/>
      <c r="R29" s="258"/>
    </row>
    <row r="30" spans="1:18" ht="15.75" thickBot="1" x14ac:dyDescent="0.3">
      <c r="A30" s="261" t="s">
        <v>116</v>
      </c>
      <c r="B30" s="262"/>
      <c r="C30" s="88" t="e">
        <f>0.15*C24+0.85*C25</f>
        <v>#DIV/0!</v>
      </c>
      <c r="D30" s="88" t="e">
        <f t="shared" ref="D30:I30" si="5">0.15*D24+0.85*D25</f>
        <v>#DIV/0!</v>
      </c>
      <c r="E30" s="88" t="e">
        <f t="shared" si="5"/>
        <v>#DIV/0!</v>
      </c>
      <c r="F30" s="88" t="e">
        <f t="shared" si="5"/>
        <v>#DIV/0!</v>
      </c>
      <c r="G30" s="88" t="e">
        <f t="shared" si="5"/>
        <v>#DIV/0!</v>
      </c>
      <c r="H30" s="88" t="e">
        <f t="shared" si="5"/>
        <v>#DIV/0!</v>
      </c>
      <c r="I30" s="88" t="e">
        <f t="shared" si="5"/>
        <v>#DIV/0!</v>
      </c>
      <c r="J30" s="89" t="e">
        <f t="shared" si="0"/>
        <v>#DIV/0!</v>
      </c>
      <c r="K30" s="263"/>
      <c r="L30" s="264"/>
      <c r="M30" s="264"/>
      <c r="N30" s="264"/>
      <c r="O30" s="264"/>
      <c r="P30" s="265"/>
      <c r="Q30" s="266" t="s">
        <v>0</v>
      </c>
      <c r="R30" s="267"/>
    </row>
    <row r="31" spans="1:18" s="91" customFormat="1" ht="15" customHeight="1" thickBot="1" x14ac:dyDescent="0.3">
      <c r="A31" s="90">
        <v>1</v>
      </c>
      <c r="B31" s="124" t="s">
        <v>117</v>
      </c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</row>
    <row r="32" spans="1:18" s="91" customFormat="1" ht="15" customHeight="1" thickBot="1" x14ac:dyDescent="0.3">
      <c r="A32" s="127" t="s">
        <v>0</v>
      </c>
      <c r="B32" s="128"/>
      <c r="C32" s="128"/>
      <c r="D32" s="128"/>
      <c r="E32" s="129"/>
      <c r="F32" s="130" t="s">
        <v>1</v>
      </c>
      <c r="G32" s="131"/>
      <c r="H32" s="132"/>
      <c r="I32" s="1" t="str">
        <f>CONCATENATE(B34,".01")</f>
        <v>211.01</v>
      </c>
      <c r="J32" s="2" t="s">
        <v>2</v>
      </c>
      <c r="K32" s="133" t="s">
        <v>3</v>
      </c>
      <c r="L32" s="134"/>
      <c r="M32" s="135"/>
      <c r="N32" s="3" t="str">
        <f>I32</f>
        <v>211.01</v>
      </c>
      <c r="O32" s="136" t="s">
        <v>4</v>
      </c>
      <c r="P32" s="137"/>
      <c r="Q32" s="138"/>
      <c r="R32" s="4" t="s">
        <v>5</v>
      </c>
    </row>
    <row r="33" spans="1:18" s="91" customFormat="1" ht="15" customHeight="1" x14ac:dyDescent="0.25">
      <c r="A33" s="139" t="s">
        <v>165</v>
      </c>
      <c r="B33" s="140"/>
      <c r="C33" s="141"/>
      <c r="D33" s="142" t="s">
        <v>6</v>
      </c>
      <c r="E33" s="143"/>
      <c r="F33" s="144" t="s">
        <v>7</v>
      </c>
      <c r="G33" s="145"/>
      <c r="H33" s="145"/>
      <c r="I33" s="145"/>
      <c r="J33" s="146"/>
      <c r="K33" s="147" t="s">
        <v>8</v>
      </c>
      <c r="L33" s="148"/>
      <c r="M33" s="148"/>
      <c r="N33" s="149"/>
      <c r="O33" s="150" t="s">
        <v>9</v>
      </c>
      <c r="P33" s="151"/>
      <c r="Q33" s="151"/>
      <c r="R33" s="152"/>
    </row>
    <row r="34" spans="1:18" s="91" customFormat="1" ht="15" customHeight="1" x14ac:dyDescent="0.25">
      <c r="A34" s="5" t="s">
        <v>10</v>
      </c>
      <c r="B34" s="6">
        <v>211</v>
      </c>
      <c r="C34" s="7"/>
      <c r="D34" s="157">
        <f>INT(457468*H48^(-1.475))</f>
        <v>36</v>
      </c>
      <c r="E34" s="158"/>
      <c r="F34" s="8" t="s">
        <v>11</v>
      </c>
      <c r="G34" s="9"/>
      <c r="H34" s="159" t="s">
        <v>166</v>
      </c>
      <c r="I34" s="160"/>
      <c r="J34" s="161"/>
      <c r="K34" s="10" t="s">
        <v>12</v>
      </c>
      <c r="L34" s="11"/>
      <c r="M34" s="162"/>
      <c r="N34" s="163"/>
      <c r="O34" s="12" t="s">
        <v>13</v>
      </c>
      <c r="P34" s="13"/>
      <c r="Q34" s="14" t="s">
        <v>14</v>
      </c>
      <c r="R34" s="15"/>
    </row>
    <row r="35" spans="1:18" s="91" customFormat="1" ht="15" customHeight="1" x14ac:dyDescent="0.25">
      <c r="A35" s="164"/>
      <c r="B35" s="165"/>
      <c r="C35" s="16"/>
      <c r="D35" s="157" t="s">
        <v>217</v>
      </c>
      <c r="E35" s="158"/>
      <c r="F35" s="166" t="s">
        <v>15</v>
      </c>
      <c r="G35" s="167"/>
      <c r="H35" s="159"/>
      <c r="I35" s="160"/>
      <c r="J35" s="161"/>
      <c r="K35" s="10" t="s">
        <v>16</v>
      </c>
      <c r="L35" s="17"/>
      <c r="M35" s="18" t="s">
        <v>17</v>
      </c>
      <c r="N35" s="19"/>
      <c r="O35" s="20" t="s">
        <v>18</v>
      </c>
      <c r="P35" s="21"/>
      <c r="Q35" s="22" t="s">
        <v>19</v>
      </c>
      <c r="R35" s="23"/>
    </row>
    <row r="36" spans="1:18" s="91" customFormat="1" ht="15" customHeight="1" x14ac:dyDescent="0.25">
      <c r="A36" s="174" t="s">
        <v>20</v>
      </c>
      <c r="B36" s="175"/>
      <c r="C36" s="176"/>
      <c r="D36" s="125" t="s">
        <v>21</v>
      </c>
      <c r="E36" s="126"/>
      <c r="F36" s="166" t="s">
        <v>22</v>
      </c>
      <c r="G36" s="167"/>
      <c r="H36" s="159"/>
      <c r="I36" s="160"/>
      <c r="J36" s="161"/>
      <c r="K36" s="10" t="s">
        <v>23</v>
      </c>
      <c r="L36" s="17"/>
      <c r="M36" s="18" t="s">
        <v>24</v>
      </c>
      <c r="N36" s="19"/>
      <c r="O36" s="20" t="s">
        <v>25</v>
      </c>
      <c r="P36" s="21"/>
      <c r="Q36" s="22" t="s">
        <v>26</v>
      </c>
      <c r="R36" s="23"/>
    </row>
    <row r="37" spans="1:18" s="91" customFormat="1" ht="15" customHeight="1" thickBot="1" x14ac:dyDescent="0.3">
      <c r="A37" s="174" t="s">
        <v>27</v>
      </c>
      <c r="B37" s="175"/>
      <c r="C37" s="176"/>
      <c r="D37" s="177" t="s">
        <v>28</v>
      </c>
      <c r="E37" s="149"/>
      <c r="F37" s="224" t="s">
        <v>29</v>
      </c>
      <c r="G37" s="225"/>
      <c r="H37" s="173"/>
      <c r="I37" s="178"/>
      <c r="J37" s="226"/>
      <c r="K37" s="24" t="s">
        <v>30</v>
      </c>
      <c r="L37" s="17"/>
      <c r="M37" s="25" t="s">
        <v>31</v>
      </c>
      <c r="N37" s="19"/>
      <c r="O37" s="26" t="s">
        <v>32</v>
      </c>
      <c r="P37" s="27"/>
      <c r="Q37" s="28" t="s">
        <v>33</v>
      </c>
      <c r="R37" s="29"/>
    </row>
    <row r="38" spans="1:18" s="91" customFormat="1" ht="15" customHeight="1" x14ac:dyDescent="0.25">
      <c r="A38" s="174" t="s">
        <v>34</v>
      </c>
      <c r="B38" s="175"/>
      <c r="C38" s="176"/>
      <c r="D38" s="177" t="s">
        <v>35</v>
      </c>
      <c r="E38" s="149"/>
      <c r="F38" s="166" t="s">
        <v>36</v>
      </c>
      <c r="G38" s="167"/>
      <c r="H38" s="173"/>
      <c r="I38" s="178"/>
      <c r="J38" s="179"/>
      <c r="K38" s="180" t="s">
        <v>37</v>
      </c>
      <c r="L38" s="181"/>
      <c r="M38" s="181"/>
      <c r="N38" s="181"/>
      <c r="O38" s="181"/>
      <c r="P38" s="181"/>
      <c r="Q38" s="181"/>
      <c r="R38" s="182"/>
    </row>
    <row r="39" spans="1:18" s="91" customFormat="1" ht="15" customHeight="1" x14ac:dyDescent="0.25">
      <c r="A39" s="147" t="s">
        <v>35</v>
      </c>
      <c r="B39" s="148"/>
      <c r="C39" s="183"/>
      <c r="D39" s="184"/>
      <c r="E39" s="185"/>
      <c r="F39" s="166" t="s">
        <v>38</v>
      </c>
      <c r="G39" s="167"/>
      <c r="H39" s="186"/>
      <c r="I39" s="186"/>
      <c r="J39" s="30"/>
      <c r="K39" s="31" t="s">
        <v>39</v>
      </c>
      <c r="L39" s="32"/>
      <c r="M39" s="33" t="s">
        <v>40</v>
      </c>
      <c r="N39" s="34"/>
      <c r="O39" s="18" t="s">
        <v>41</v>
      </c>
      <c r="P39" s="35" t="e">
        <f>L39*L43*N44*0.0175/N39</f>
        <v>#DIV/0!</v>
      </c>
      <c r="Q39" s="187"/>
      <c r="R39" s="188"/>
    </row>
    <row r="40" spans="1:18" s="91" customFormat="1" ht="15" customHeight="1" thickBot="1" x14ac:dyDescent="0.3">
      <c r="A40" s="168"/>
      <c r="B40" s="169"/>
      <c r="C40" s="170"/>
      <c r="D40" s="171"/>
      <c r="E40" s="172"/>
      <c r="F40" s="166" t="s">
        <v>42</v>
      </c>
      <c r="G40" s="167"/>
      <c r="H40" s="173"/>
      <c r="I40" s="173"/>
      <c r="J40" s="30"/>
      <c r="K40" s="31" t="s">
        <v>43</v>
      </c>
      <c r="L40" s="32"/>
      <c r="M40" s="33" t="s">
        <v>44</v>
      </c>
      <c r="N40" s="34"/>
      <c r="O40" s="18" t="s">
        <v>45</v>
      </c>
      <c r="P40" s="35" t="e">
        <f>L40*L43*N44*0.0175/N40</f>
        <v>#DIV/0!</v>
      </c>
      <c r="Q40" s="189"/>
      <c r="R40" s="190"/>
    </row>
    <row r="41" spans="1:18" s="91" customFormat="1" ht="15" customHeight="1" x14ac:dyDescent="0.25">
      <c r="A41" s="36"/>
      <c r="B41" s="37"/>
      <c r="C41" s="37"/>
      <c r="D41" s="37"/>
      <c r="E41" s="37"/>
      <c r="F41" s="144" t="s">
        <v>46</v>
      </c>
      <c r="G41" s="153"/>
      <c r="H41" s="154"/>
      <c r="I41" s="155"/>
      <c r="J41" s="156"/>
      <c r="K41" s="38" t="s">
        <v>47</v>
      </c>
      <c r="L41" s="32"/>
      <c r="M41" s="33" t="s">
        <v>48</v>
      </c>
      <c r="N41" s="34"/>
      <c r="O41" s="18" t="s">
        <v>49</v>
      </c>
      <c r="P41" s="35" t="e">
        <f>L41*L43*N44*0.0175/N41</f>
        <v>#DIV/0!</v>
      </c>
      <c r="Q41" s="189"/>
      <c r="R41" s="190"/>
    </row>
    <row r="42" spans="1:18" s="91" customFormat="1" ht="15" customHeight="1" x14ac:dyDescent="0.25">
      <c r="A42" s="36"/>
      <c r="B42" s="37"/>
      <c r="C42" s="37"/>
      <c r="D42" s="37"/>
      <c r="E42" s="37"/>
      <c r="F42" s="39"/>
      <c r="G42" s="37"/>
      <c r="H42" s="37"/>
      <c r="I42" s="37"/>
      <c r="J42" s="37"/>
      <c r="K42" s="38" t="s">
        <v>50</v>
      </c>
      <c r="L42" s="40"/>
      <c r="M42" s="33" t="s">
        <v>51</v>
      </c>
      <c r="N42" s="34"/>
      <c r="O42" s="18" t="s">
        <v>52</v>
      </c>
      <c r="P42" s="35" t="e">
        <f>L42*L43*N44*0.0175/N42</f>
        <v>#DIV/0!</v>
      </c>
      <c r="Q42" s="189"/>
      <c r="R42" s="190"/>
    </row>
    <row r="43" spans="1:18" s="91" customFormat="1" ht="15" customHeight="1" x14ac:dyDescent="0.25">
      <c r="A43" s="197" t="s">
        <v>53</v>
      </c>
      <c r="B43" s="198"/>
      <c r="C43" s="41"/>
      <c r="D43" s="41"/>
      <c r="E43" s="41"/>
      <c r="F43" s="42"/>
      <c r="G43" s="41"/>
      <c r="H43" s="41"/>
      <c r="I43" s="41"/>
      <c r="J43" s="41"/>
      <c r="K43" s="31" t="s">
        <v>54</v>
      </c>
      <c r="L43" s="43"/>
      <c r="M43" s="33" t="s">
        <v>55</v>
      </c>
      <c r="N43" s="34"/>
      <c r="O43" s="18" t="s">
        <v>56</v>
      </c>
      <c r="P43" s="44" t="e">
        <f>AVERAGE(P39:P42)</f>
        <v>#DIV/0!</v>
      </c>
      <c r="Q43" s="189"/>
      <c r="R43" s="190"/>
    </row>
    <row r="44" spans="1:18" s="91" customFormat="1" ht="15" customHeight="1" x14ac:dyDescent="0.25">
      <c r="A44" s="199"/>
      <c r="B44" s="200"/>
      <c r="C44" s="200"/>
      <c r="D44" s="200"/>
      <c r="E44" s="200"/>
      <c r="F44" s="200"/>
      <c r="G44" s="200"/>
      <c r="H44" s="200"/>
      <c r="I44" s="200"/>
      <c r="J44" s="201"/>
      <c r="K44" s="45" t="s">
        <v>57</v>
      </c>
      <c r="L44" s="34"/>
      <c r="M44" s="33" t="s">
        <v>58</v>
      </c>
      <c r="N44" s="46" t="e">
        <f>N43/(1+L44/L45)</f>
        <v>#DIV/0!</v>
      </c>
      <c r="O44" s="47" t="s">
        <v>59</v>
      </c>
      <c r="P44" s="48" t="e">
        <f>3.281*((0.03*B48*B49^3*1025.8-54*P43)/L34-0.0625*B48)+0.25</f>
        <v>#DIV/0!</v>
      </c>
      <c r="Q44" s="191"/>
      <c r="R44" s="192"/>
    </row>
    <row r="45" spans="1:18" s="91" customFormat="1" ht="15" customHeight="1" thickBot="1" x14ac:dyDescent="0.3">
      <c r="A45" s="202"/>
      <c r="B45" s="203"/>
      <c r="C45" s="203"/>
      <c r="D45" s="203"/>
      <c r="E45" s="203"/>
      <c r="F45" s="203"/>
      <c r="G45" s="203"/>
      <c r="H45" s="203"/>
      <c r="I45" s="203"/>
      <c r="J45" s="204"/>
      <c r="K45" s="49" t="s">
        <v>60</v>
      </c>
      <c r="L45" s="50"/>
      <c r="M45" s="205" t="s">
        <v>61</v>
      </c>
      <c r="N45" s="206"/>
      <c r="O45" s="206"/>
      <c r="P45" s="207"/>
      <c r="Q45" s="208"/>
      <c r="R45" s="208"/>
    </row>
    <row r="46" spans="1:18" s="91" customFormat="1" ht="15" customHeight="1" x14ac:dyDescent="0.25">
      <c r="A46" s="209" t="s">
        <v>62</v>
      </c>
      <c r="B46" s="210"/>
      <c r="C46" s="210"/>
      <c r="D46" s="210"/>
      <c r="E46" s="210"/>
      <c r="F46" s="210"/>
      <c r="G46" s="210"/>
      <c r="H46" s="210"/>
      <c r="I46" s="210"/>
      <c r="J46" s="211"/>
      <c r="K46" s="180" t="s">
        <v>63</v>
      </c>
      <c r="L46" s="181"/>
      <c r="M46" s="181"/>
      <c r="N46" s="181"/>
      <c r="O46" s="181"/>
      <c r="P46" s="181"/>
      <c r="Q46" s="181"/>
      <c r="R46" s="182"/>
    </row>
    <row r="47" spans="1:18" s="91" customFormat="1" ht="15" customHeight="1" x14ac:dyDescent="0.25">
      <c r="A47" s="242" t="s">
        <v>64</v>
      </c>
      <c r="B47" s="243"/>
      <c r="C47" s="244" t="s">
        <v>65</v>
      </c>
      <c r="D47" s="245"/>
      <c r="E47" s="246" t="s">
        <v>66</v>
      </c>
      <c r="F47" s="247"/>
      <c r="G47" s="142" t="s">
        <v>67</v>
      </c>
      <c r="H47" s="250"/>
      <c r="I47" s="250"/>
      <c r="J47" s="143"/>
      <c r="K47" s="193" t="s">
        <v>68</v>
      </c>
      <c r="L47" s="194"/>
      <c r="M47" s="195" t="s">
        <v>69</v>
      </c>
      <c r="N47" s="196"/>
      <c r="O47" s="227" t="s">
        <v>70</v>
      </c>
      <c r="P47" s="194"/>
      <c r="Q47" s="195" t="s">
        <v>71</v>
      </c>
      <c r="R47" s="228"/>
    </row>
    <row r="48" spans="1:18" s="91" customFormat="1" ht="15" customHeight="1" x14ac:dyDescent="0.25">
      <c r="A48" s="10" t="s">
        <v>72</v>
      </c>
      <c r="B48" s="44"/>
      <c r="C48" s="51" t="s">
        <v>73</v>
      </c>
      <c r="D48" s="52"/>
      <c r="E48" s="248"/>
      <c r="F48" s="249"/>
      <c r="G48" s="53" t="s">
        <v>74</v>
      </c>
      <c r="H48" s="99">
        <v>594.95953597624623</v>
      </c>
      <c r="I48" s="55" t="s">
        <v>75</v>
      </c>
      <c r="J48" s="56"/>
      <c r="K48" s="10" t="s">
        <v>76</v>
      </c>
      <c r="L48" s="57"/>
      <c r="M48" s="18" t="s">
        <v>77</v>
      </c>
      <c r="N48" s="57"/>
      <c r="O48" s="18" t="s">
        <v>78</v>
      </c>
      <c r="P48" s="58"/>
      <c r="Q48" s="18" t="s">
        <v>79</v>
      </c>
      <c r="R48" s="59"/>
    </row>
    <row r="49" spans="1:18" s="91" customFormat="1" ht="15" customHeight="1" x14ac:dyDescent="0.25">
      <c r="A49" s="10" t="s">
        <v>80</v>
      </c>
      <c r="B49" s="44"/>
      <c r="C49" s="18" t="s">
        <v>81</v>
      </c>
      <c r="D49" s="52"/>
      <c r="E49" s="60" t="s">
        <v>82</v>
      </c>
      <c r="F49" s="61"/>
      <c r="G49" s="62" t="s">
        <v>83</v>
      </c>
      <c r="H49" s="63">
        <f>3600/H48</f>
        <v>6.0508316655399064</v>
      </c>
      <c r="I49" s="64" t="s">
        <v>84</v>
      </c>
      <c r="J49" s="56"/>
      <c r="K49" s="65" t="s">
        <v>85</v>
      </c>
      <c r="L49" s="57"/>
      <c r="M49" s="18" t="s">
        <v>86</v>
      </c>
      <c r="N49" s="57"/>
      <c r="O49" s="18" t="s">
        <v>87</v>
      </c>
      <c r="P49" s="58"/>
      <c r="Q49" s="18" t="s">
        <v>88</v>
      </c>
      <c r="R49" s="59"/>
    </row>
    <row r="50" spans="1:18" s="91" customFormat="1" ht="15" customHeight="1" x14ac:dyDescent="0.25">
      <c r="A50" s="66" t="s">
        <v>89</v>
      </c>
      <c r="B50" s="67"/>
      <c r="C50" s="18" t="s">
        <v>90</v>
      </c>
      <c r="D50" s="52"/>
      <c r="E50" s="68"/>
      <c r="F50" s="69"/>
      <c r="G50" s="69"/>
      <c r="H50" s="69"/>
      <c r="I50" s="70"/>
      <c r="J50" s="71"/>
      <c r="K50" s="10" t="s">
        <v>91</v>
      </c>
      <c r="L50" s="72"/>
      <c r="M50" s="227"/>
      <c r="N50" s="194"/>
      <c r="O50" s="18" t="s">
        <v>92</v>
      </c>
      <c r="P50" s="73"/>
      <c r="Q50" s="18" t="s">
        <v>93</v>
      </c>
      <c r="R50" s="59"/>
    </row>
    <row r="51" spans="1:18" s="91" customFormat="1" ht="15" customHeight="1" x14ac:dyDescent="0.25">
      <c r="A51" s="10" t="s">
        <v>94</v>
      </c>
      <c r="B51" s="35"/>
      <c r="C51" s="18" t="s">
        <v>95</v>
      </c>
      <c r="D51" s="52"/>
      <c r="E51" s="74"/>
      <c r="F51" s="74"/>
      <c r="G51" s="74"/>
      <c r="H51" s="74"/>
      <c r="I51" s="74"/>
      <c r="J51" s="74"/>
      <c r="K51" s="10" t="s">
        <v>96</v>
      </c>
      <c r="L51" s="75"/>
      <c r="M51" s="187"/>
      <c r="N51" s="229"/>
      <c r="O51" s="229"/>
      <c r="P51" s="230"/>
      <c r="Q51" s="18" t="s">
        <v>97</v>
      </c>
      <c r="R51" s="59"/>
    </row>
    <row r="52" spans="1:18" s="91" customFormat="1" ht="15" customHeight="1" x14ac:dyDescent="0.25">
      <c r="A52" s="10" t="s">
        <v>98</v>
      </c>
      <c r="B52" s="67"/>
      <c r="C52" s="16" t="s">
        <v>99</v>
      </c>
      <c r="D52" s="76"/>
      <c r="E52" s="77"/>
      <c r="F52" s="78"/>
      <c r="G52" s="78"/>
      <c r="H52" s="78"/>
      <c r="I52" s="78"/>
      <c r="J52" s="78"/>
      <c r="K52" s="10" t="s">
        <v>100</v>
      </c>
      <c r="L52" s="75"/>
      <c r="M52" s="191"/>
      <c r="N52" s="231"/>
      <c r="O52" s="231"/>
      <c r="P52" s="232"/>
      <c r="Q52" s="227"/>
      <c r="R52" s="233"/>
    </row>
    <row r="53" spans="1:18" s="91" customFormat="1" ht="15" customHeight="1" x14ac:dyDescent="0.25">
      <c r="A53" s="234"/>
      <c r="B53" s="235"/>
      <c r="C53" s="16" t="s">
        <v>101</v>
      </c>
      <c r="D53" s="79"/>
      <c r="E53" s="236" t="s">
        <v>102</v>
      </c>
      <c r="F53" s="237"/>
      <c r="G53" s="237"/>
      <c r="H53" s="237"/>
      <c r="I53" s="238"/>
      <c r="J53" s="80" t="s">
        <v>103</v>
      </c>
      <c r="K53" s="239"/>
      <c r="L53" s="240"/>
      <c r="M53" s="240"/>
      <c r="N53" s="240"/>
      <c r="O53" s="240"/>
      <c r="P53" s="240"/>
      <c r="Q53" s="240"/>
      <c r="R53" s="241"/>
    </row>
    <row r="54" spans="1:18" s="91" customFormat="1" ht="15" customHeight="1" thickBot="1" x14ac:dyDescent="0.3">
      <c r="A54" s="212" t="s">
        <v>104</v>
      </c>
      <c r="B54" s="213"/>
      <c r="C54" s="81">
        <v>6</v>
      </c>
      <c r="D54" s="81">
        <v>8</v>
      </c>
      <c r="E54" s="81">
        <v>10</v>
      </c>
      <c r="F54" s="81">
        <v>12</v>
      </c>
      <c r="G54" s="81">
        <v>14</v>
      </c>
      <c r="H54" s="81">
        <v>16</v>
      </c>
      <c r="I54" s="82">
        <v>20</v>
      </c>
      <c r="J54" s="97">
        <v>6.7553950750248202</v>
      </c>
      <c r="K54" s="164" t="s">
        <v>105</v>
      </c>
      <c r="L54" s="165"/>
      <c r="M54" s="214" t="e">
        <f>IF(P44&gt;-0.25,"SV непригодно для категории гонок 0,1,2 и3"," ")</f>
        <v>#DIV/0!</v>
      </c>
      <c r="N54" s="215"/>
      <c r="O54" s="215"/>
      <c r="P54" s="215"/>
      <c r="Q54" s="215"/>
      <c r="R54" s="216"/>
    </row>
    <row r="55" spans="1:18" s="91" customFormat="1" ht="15" customHeight="1" x14ac:dyDescent="0.25">
      <c r="A55" s="217" t="s">
        <v>106</v>
      </c>
      <c r="B55" s="218"/>
      <c r="C55" s="63">
        <v>3.4270276631984822</v>
      </c>
      <c r="D55" s="63">
        <v>3.957190687735876</v>
      </c>
      <c r="E55" s="63">
        <v>4.4242736888532814</v>
      </c>
      <c r="F55" s="63">
        <v>4.84654899992307</v>
      </c>
      <c r="G55" s="63">
        <v>5.2348712251048921</v>
      </c>
      <c r="H55" s="63">
        <v>5.5963127394925909</v>
      </c>
      <c r="I55" s="63">
        <v>6.2568678544267531</v>
      </c>
      <c r="J55" s="84">
        <v>4.8204418369621349</v>
      </c>
      <c r="K55" s="219" t="s">
        <v>107</v>
      </c>
      <c r="L55" s="220"/>
      <c r="M55" s="221"/>
      <c r="N55" s="222"/>
      <c r="O55" s="222"/>
      <c r="P55" s="222"/>
      <c r="Q55" s="222"/>
      <c r="R55" s="223"/>
    </row>
    <row r="56" spans="1:18" s="91" customFormat="1" ht="15" customHeight="1" x14ac:dyDescent="0.25">
      <c r="A56" s="217" t="s">
        <v>108</v>
      </c>
      <c r="B56" s="218"/>
      <c r="C56" s="63">
        <v>4.0566720175248117</v>
      </c>
      <c r="D56" s="63">
        <v>6.8781802657666899</v>
      </c>
      <c r="E56" s="63">
        <v>7.7341086718851715</v>
      </c>
      <c r="F56" s="63">
        <v>8.5214067087339895</v>
      </c>
      <c r="G56" s="63">
        <v>9.2581550825909424</v>
      </c>
      <c r="H56" s="63">
        <v>9.9561228010200615</v>
      </c>
      <c r="I56" s="63">
        <v>14.427792644090857</v>
      </c>
      <c r="J56" s="84">
        <v>8.6903483130875028</v>
      </c>
      <c r="K56" s="85" t="s">
        <v>109</v>
      </c>
      <c r="L56" s="86"/>
      <c r="M56" s="87"/>
      <c r="N56" s="268"/>
      <c r="O56" s="269"/>
      <c r="P56" s="269"/>
      <c r="Q56" s="269"/>
      <c r="R56" s="270"/>
    </row>
    <row r="57" spans="1:18" s="91" customFormat="1" ht="15" customHeight="1" x14ac:dyDescent="0.25">
      <c r="A57" s="251" t="s">
        <v>110</v>
      </c>
      <c r="B57" s="252"/>
      <c r="C57" s="63">
        <v>3.7418498403616471</v>
      </c>
      <c r="D57" s="63">
        <v>5.4176854767512825</v>
      </c>
      <c r="E57" s="63">
        <v>6.0791911803692269</v>
      </c>
      <c r="F57" s="63">
        <v>6.6839778543285302</v>
      </c>
      <c r="G57" s="63">
        <v>7.2465131538479177</v>
      </c>
      <c r="H57" s="63">
        <v>7.7762177702563262</v>
      </c>
      <c r="I57" s="63">
        <v>10.342330249258804</v>
      </c>
      <c r="J57" s="84">
        <v>6.7553950750248202</v>
      </c>
      <c r="K57" s="166" t="s">
        <v>111</v>
      </c>
      <c r="L57" s="167"/>
      <c r="M57" s="87"/>
      <c r="N57" s="271"/>
      <c r="O57" s="272"/>
      <c r="P57" s="272"/>
      <c r="Q57" s="272"/>
      <c r="R57" s="273"/>
    </row>
    <row r="58" spans="1:18" s="91" customFormat="1" ht="15" customHeight="1" x14ac:dyDescent="0.25">
      <c r="A58" s="251" t="s">
        <v>112</v>
      </c>
      <c r="B58" s="252"/>
      <c r="C58" s="63">
        <v>3.5214743163474314</v>
      </c>
      <c r="D58" s="63">
        <v>4.3953391244404978</v>
      </c>
      <c r="E58" s="63">
        <v>4.9207489363080645</v>
      </c>
      <c r="F58" s="63">
        <v>5.397777656244708</v>
      </c>
      <c r="G58" s="63">
        <v>5.8383638037277992</v>
      </c>
      <c r="H58" s="63">
        <v>6.2502842487217114</v>
      </c>
      <c r="I58" s="63">
        <v>7.4825065728763676</v>
      </c>
      <c r="J58" s="84">
        <v>5.4009278083809402</v>
      </c>
      <c r="K58" s="224" t="s">
        <v>113</v>
      </c>
      <c r="L58" s="225"/>
      <c r="M58" s="184"/>
      <c r="N58" s="274"/>
      <c r="O58" s="274"/>
      <c r="P58" s="274"/>
      <c r="Q58" s="274"/>
      <c r="R58" s="185"/>
    </row>
    <row r="59" spans="1:18" s="91" customFormat="1" ht="15" customHeight="1" x14ac:dyDescent="0.25">
      <c r="A59" s="251" t="s">
        <v>114</v>
      </c>
      <c r="B59" s="252"/>
      <c r="C59" s="63">
        <v>3.5844387517800644</v>
      </c>
      <c r="D59" s="63">
        <v>4.6874380822435793</v>
      </c>
      <c r="E59" s="63">
        <v>5.2517324346112542</v>
      </c>
      <c r="F59" s="63">
        <v>5.7652634271258005</v>
      </c>
      <c r="G59" s="63">
        <v>6.2406921894764045</v>
      </c>
      <c r="H59" s="63">
        <v>6.686265254874459</v>
      </c>
      <c r="I59" s="63">
        <v>8.2995990518427796</v>
      </c>
      <c r="J59" s="84">
        <v>5.7879184559934771</v>
      </c>
      <c r="K59" s="253"/>
      <c r="L59" s="254"/>
      <c r="M59" s="254"/>
      <c r="N59" s="254"/>
      <c r="O59" s="254"/>
      <c r="P59" s="254"/>
      <c r="Q59" s="254"/>
      <c r="R59" s="255"/>
    </row>
    <row r="60" spans="1:18" s="91" customFormat="1" ht="15" customHeight="1" x14ac:dyDescent="0.25">
      <c r="A60" s="259" t="s">
        <v>115</v>
      </c>
      <c r="B60" s="260"/>
      <c r="C60" s="63">
        <v>3.8992609289432294</v>
      </c>
      <c r="D60" s="63">
        <v>6.1479328712589858</v>
      </c>
      <c r="E60" s="63">
        <v>6.9066499261271996</v>
      </c>
      <c r="F60" s="63">
        <v>7.602692281531259</v>
      </c>
      <c r="G60" s="63">
        <v>8.2523341182194301</v>
      </c>
      <c r="H60" s="63">
        <v>8.8661702856381943</v>
      </c>
      <c r="I60" s="63">
        <v>12.385061446674831</v>
      </c>
      <c r="J60" s="84">
        <v>7.7228716940561615</v>
      </c>
      <c r="K60" s="256"/>
      <c r="L60" s="257"/>
      <c r="M60" s="257"/>
      <c r="N60" s="257"/>
      <c r="O60" s="257"/>
      <c r="P60" s="257"/>
      <c r="Q60" s="257"/>
      <c r="R60" s="258"/>
    </row>
    <row r="61" spans="1:18" s="91" customFormat="1" ht="15" customHeight="1" thickBot="1" x14ac:dyDescent="0.3">
      <c r="A61" s="261" t="s">
        <v>116</v>
      </c>
      <c r="B61" s="262"/>
      <c r="C61" s="88">
        <v>3.962225364375862</v>
      </c>
      <c r="D61" s="88">
        <v>6.4400318290620673</v>
      </c>
      <c r="E61" s="88">
        <v>7.2376334244303875</v>
      </c>
      <c r="F61" s="88">
        <v>7.9701780524123507</v>
      </c>
      <c r="G61" s="88">
        <v>8.6546625039680354</v>
      </c>
      <c r="H61" s="88">
        <v>9.3021512917909401</v>
      </c>
      <c r="I61" s="88">
        <v>13.202153925641241</v>
      </c>
      <c r="J61" s="89">
        <v>8.1098623416686983</v>
      </c>
      <c r="K61" s="263"/>
      <c r="L61" s="264"/>
      <c r="M61" s="264"/>
      <c r="N61" s="264"/>
      <c r="O61" s="264"/>
      <c r="P61" s="265"/>
      <c r="Q61" s="266" t="s">
        <v>0</v>
      </c>
      <c r="R61" s="267"/>
    </row>
    <row r="62" spans="1:18" s="91" customFormat="1" ht="15" customHeight="1" thickBot="1" x14ac:dyDescent="0.3">
      <c r="A62" s="90">
        <v>2</v>
      </c>
      <c r="B62" s="124" t="s">
        <v>117</v>
      </c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</row>
    <row r="63" spans="1:18" s="91" customFormat="1" ht="15" customHeight="1" thickBot="1" x14ac:dyDescent="0.3">
      <c r="A63" s="127" t="s">
        <v>0</v>
      </c>
      <c r="B63" s="128"/>
      <c r="C63" s="128"/>
      <c r="D63" s="128"/>
      <c r="E63" s="129"/>
      <c r="F63" s="130" t="s">
        <v>1</v>
      </c>
      <c r="G63" s="131"/>
      <c r="H63" s="132"/>
      <c r="I63" s="1" t="str">
        <f>CONCATENATE(B65,".01")</f>
        <v>555.01</v>
      </c>
      <c r="J63" s="2" t="s">
        <v>2</v>
      </c>
      <c r="K63" s="133" t="s">
        <v>3</v>
      </c>
      <c r="L63" s="134"/>
      <c r="M63" s="135"/>
      <c r="N63" s="3" t="str">
        <f>I63</f>
        <v>555.01</v>
      </c>
      <c r="O63" s="136" t="s">
        <v>4</v>
      </c>
      <c r="P63" s="137"/>
      <c r="Q63" s="138"/>
      <c r="R63" s="4" t="s">
        <v>5</v>
      </c>
    </row>
    <row r="64" spans="1:18" s="91" customFormat="1" ht="15" customHeight="1" x14ac:dyDescent="0.25">
      <c r="A64" s="139" t="s">
        <v>118</v>
      </c>
      <c r="B64" s="140"/>
      <c r="C64" s="141"/>
      <c r="D64" s="142" t="s">
        <v>6</v>
      </c>
      <c r="E64" s="143"/>
      <c r="F64" s="144" t="s">
        <v>7</v>
      </c>
      <c r="G64" s="145"/>
      <c r="H64" s="145"/>
      <c r="I64" s="145"/>
      <c r="J64" s="146"/>
      <c r="K64" s="147" t="s">
        <v>8</v>
      </c>
      <c r="L64" s="148"/>
      <c r="M64" s="148"/>
      <c r="N64" s="149"/>
      <c r="O64" s="150" t="s">
        <v>9</v>
      </c>
      <c r="P64" s="151"/>
      <c r="Q64" s="151"/>
      <c r="R64" s="152"/>
    </row>
    <row r="65" spans="1:18" s="91" customFormat="1" ht="15" customHeight="1" x14ac:dyDescent="0.25">
      <c r="A65" s="5" t="s">
        <v>10</v>
      </c>
      <c r="B65" s="6">
        <v>555</v>
      </c>
      <c r="C65" s="7"/>
      <c r="D65" s="157">
        <f>INT(457468*H79^(-1.475))</f>
        <v>33</v>
      </c>
      <c r="E65" s="158"/>
      <c r="F65" s="8" t="s">
        <v>11</v>
      </c>
      <c r="G65" s="9"/>
      <c r="H65" s="159" t="s">
        <v>119</v>
      </c>
      <c r="I65" s="160"/>
      <c r="J65" s="161"/>
      <c r="K65" s="10" t="s">
        <v>12</v>
      </c>
      <c r="L65" s="11">
        <v>1540</v>
      </c>
      <c r="M65" s="162"/>
      <c r="N65" s="163"/>
      <c r="O65" s="12" t="s">
        <v>13</v>
      </c>
      <c r="P65" s="13"/>
      <c r="Q65" s="14" t="s">
        <v>14</v>
      </c>
      <c r="R65" s="15"/>
    </row>
    <row r="66" spans="1:18" s="91" customFormat="1" ht="15" customHeight="1" x14ac:dyDescent="0.25">
      <c r="A66" s="164"/>
      <c r="B66" s="165"/>
      <c r="C66" s="16"/>
      <c r="D66" s="157" t="s">
        <v>217</v>
      </c>
      <c r="E66" s="158"/>
      <c r="F66" s="166" t="s">
        <v>15</v>
      </c>
      <c r="G66" s="167"/>
      <c r="H66" s="159" t="s">
        <v>120</v>
      </c>
      <c r="I66" s="160"/>
      <c r="J66" s="161"/>
      <c r="K66" s="10" t="s">
        <v>16</v>
      </c>
      <c r="L66" s="17">
        <v>7.96</v>
      </c>
      <c r="M66" s="18" t="s">
        <v>17</v>
      </c>
      <c r="N66" s="19">
        <v>2.4980000000000002</v>
      </c>
      <c r="O66" s="20" t="s">
        <v>18</v>
      </c>
      <c r="P66" s="21"/>
      <c r="Q66" s="22" t="s">
        <v>19</v>
      </c>
      <c r="R66" s="23"/>
    </row>
    <row r="67" spans="1:18" s="91" customFormat="1" ht="15" customHeight="1" x14ac:dyDescent="0.25">
      <c r="A67" s="174" t="s">
        <v>20</v>
      </c>
      <c r="B67" s="175"/>
      <c r="C67" s="176"/>
      <c r="D67" s="125" t="s">
        <v>21</v>
      </c>
      <c r="E67" s="126"/>
      <c r="F67" s="166" t="s">
        <v>22</v>
      </c>
      <c r="G67" s="167"/>
      <c r="H67" s="159" t="s">
        <v>121</v>
      </c>
      <c r="I67" s="160"/>
      <c r="J67" s="161"/>
      <c r="K67" s="10" t="s">
        <v>23</v>
      </c>
      <c r="L67" s="17"/>
      <c r="M67" s="18" t="s">
        <v>24</v>
      </c>
      <c r="N67" s="19"/>
      <c r="O67" s="20" t="s">
        <v>25</v>
      </c>
      <c r="P67" s="21"/>
      <c r="Q67" s="22" t="s">
        <v>26</v>
      </c>
      <c r="R67" s="23"/>
    </row>
    <row r="68" spans="1:18" s="91" customFormat="1" ht="15" customHeight="1" thickBot="1" x14ac:dyDescent="0.3">
      <c r="A68" s="174" t="s">
        <v>27</v>
      </c>
      <c r="B68" s="175"/>
      <c r="C68" s="176"/>
      <c r="D68" s="177" t="s">
        <v>28</v>
      </c>
      <c r="E68" s="149"/>
      <c r="F68" s="224" t="s">
        <v>29</v>
      </c>
      <c r="G68" s="225"/>
      <c r="H68" s="173">
        <v>2012</v>
      </c>
      <c r="I68" s="178"/>
      <c r="J68" s="226"/>
      <c r="K68" s="24" t="s">
        <v>30</v>
      </c>
      <c r="L68" s="17"/>
      <c r="M68" s="25" t="s">
        <v>31</v>
      </c>
      <c r="N68" s="19"/>
      <c r="O68" s="26" t="s">
        <v>32</v>
      </c>
      <c r="P68" s="27"/>
      <c r="Q68" s="28" t="s">
        <v>33</v>
      </c>
      <c r="R68" s="29"/>
    </row>
    <row r="69" spans="1:18" s="91" customFormat="1" ht="15" customHeight="1" x14ac:dyDescent="0.25">
      <c r="A69" s="174" t="s">
        <v>34</v>
      </c>
      <c r="B69" s="175"/>
      <c r="C69" s="176"/>
      <c r="D69" s="177" t="s">
        <v>35</v>
      </c>
      <c r="E69" s="149"/>
      <c r="F69" s="166" t="s">
        <v>36</v>
      </c>
      <c r="G69" s="167"/>
      <c r="H69" s="173" t="s">
        <v>122</v>
      </c>
      <c r="I69" s="178"/>
      <c r="J69" s="179"/>
      <c r="K69" s="180" t="s">
        <v>37</v>
      </c>
      <c r="L69" s="181"/>
      <c r="M69" s="181"/>
      <c r="N69" s="181"/>
      <c r="O69" s="181"/>
      <c r="P69" s="181"/>
      <c r="Q69" s="181"/>
      <c r="R69" s="182"/>
    </row>
    <row r="70" spans="1:18" s="91" customFormat="1" ht="15" customHeight="1" x14ac:dyDescent="0.25">
      <c r="A70" s="147" t="s">
        <v>35</v>
      </c>
      <c r="B70" s="148"/>
      <c r="C70" s="183"/>
      <c r="D70" s="184"/>
      <c r="E70" s="185"/>
      <c r="F70" s="166" t="s">
        <v>38</v>
      </c>
      <c r="G70" s="167"/>
      <c r="H70" s="186"/>
      <c r="I70" s="186"/>
      <c r="J70" s="30">
        <f>IF(H71="Подвесной мотор",0,IF(H70="Литой",0.005,0))</f>
        <v>0</v>
      </c>
      <c r="K70" s="31" t="s">
        <v>39</v>
      </c>
      <c r="L70" s="32"/>
      <c r="M70" s="33" t="s">
        <v>40</v>
      </c>
      <c r="N70" s="34"/>
      <c r="O70" s="18" t="s">
        <v>41</v>
      </c>
      <c r="P70" s="35" t="e">
        <f>L70*L74*N75*0.0175/N70</f>
        <v>#DIV/0!</v>
      </c>
      <c r="Q70" s="187"/>
      <c r="R70" s="188"/>
    </row>
    <row r="71" spans="1:18" s="91" customFormat="1" ht="15" customHeight="1" thickBot="1" x14ac:dyDescent="0.3">
      <c r="A71" s="168"/>
      <c r="B71" s="169"/>
      <c r="C71" s="170"/>
      <c r="D71" s="171"/>
      <c r="E71" s="172"/>
      <c r="F71" s="166" t="s">
        <v>42</v>
      </c>
      <c r="G71" s="167"/>
      <c r="H71" s="173" t="s">
        <v>123</v>
      </c>
      <c r="I71" s="173"/>
      <c r="J71" s="30">
        <f>IF(H71="Без двигателя",1,IF(H71="Подвесной мотор",0.995,IF(H71="Привод в кронштейне",0.99,IF(H71="Открытый вал",0.98,IF(H71="Закрытый вал",0.97,IF(H71="В вырезе",0.96,"Установка ? "))))))</f>
        <v>0.995</v>
      </c>
      <c r="K71" s="31" t="s">
        <v>43</v>
      </c>
      <c r="L71" s="32"/>
      <c r="M71" s="33" t="s">
        <v>44</v>
      </c>
      <c r="N71" s="34"/>
      <c r="O71" s="18" t="s">
        <v>45</v>
      </c>
      <c r="P71" s="35" t="e">
        <f>L71*L74*N75*0.0175/N71</f>
        <v>#DIV/0!</v>
      </c>
      <c r="Q71" s="189"/>
      <c r="R71" s="190"/>
    </row>
    <row r="72" spans="1:18" s="91" customFormat="1" ht="15" customHeight="1" x14ac:dyDescent="0.25">
      <c r="A72" s="36"/>
      <c r="B72" s="37"/>
      <c r="C72" s="37"/>
      <c r="D72" s="37"/>
      <c r="E72" s="37"/>
      <c r="F72" s="144" t="s">
        <v>46</v>
      </c>
      <c r="G72" s="153"/>
      <c r="H72" s="154"/>
      <c r="I72" s="155"/>
      <c r="J72" s="156"/>
      <c r="K72" s="38" t="s">
        <v>47</v>
      </c>
      <c r="L72" s="32"/>
      <c r="M72" s="33" t="s">
        <v>48</v>
      </c>
      <c r="N72" s="34"/>
      <c r="O72" s="18" t="s">
        <v>49</v>
      </c>
      <c r="P72" s="35" t="e">
        <f>L72*L74*N75*0.0175/N72</f>
        <v>#DIV/0!</v>
      </c>
      <c r="Q72" s="189"/>
      <c r="R72" s="190"/>
    </row>
    <row r="73" spans="1:18" s="91" customFormat="1" ht="15" customHeight="1" x14ac:dyDescent="0.25">
      <c r="A73" s="36"/>
      <c r="B73" s="37"/>
      <c r="C73" s="37"/>
      <c r="D73" s="37"/>
      <c r="E73" s="37"/>
      <c r="F73" s="39"/>
      <c r="G73" s="37"/>
      <c r="H73" s="37"/>
      <c r="I73" s="37"/>
      <c r="J73" s="37"/>
      <c r="K73" s="38" t="s">
        <v>50</v>
      </c>
      <c r="L73" s="40"/>
      <c r="M73" s="33" t="s">
        <v>51</v>
      </c>
      <c r="N73" s="34"/>
      <c r="O73" s="18" t="s">
        <v>52</v>
      </c>
      <c r="P73" s="35" t="e">
        <f>L73*L74*N75*0.0175/N73</f>
        <v>#DIV/0!</v>
      </c>
      <c r="Q73" s="189"/>
      <c r="R73" s="190"/>
    </row>
    <row r="74" spans="1:18" s="91" customFormat="1" ht="15" customHeight="1" x14ac:dyDescent="0.25">
      <c r="A74" s="197" t="s">
        <v>53</v>
      </c>
      <c r="B74" s="198"/>
      <c r="C74" s="41"/>
      <c r="D74" s="41"/>
      <c r="E74" s="41"/>
      <c r="F74" s="42"/>
      <c r="G74" s="41"/>
      <c r="H74" s="41"/>
      <c r="I74" s="41"/>
      <c r="J74" s="41"/>
      <c r="K74" s="31" t="s">
        <v>54</v>
      </c>
      <c r="L74" s="43"/>
      <c r="M74" s="33" t="s">
        <v>55</v>
      </c>
      <c r="N74" s="34"/>
      <c r="O74" s="18" t="s">
        <v>56</v>
      </c>
      <c r="P74" s="44" t="e">
        <f>AVERAGE(P70:P73)</f>
        <v>#DIV/0!</v>
      </c>
      <c r="Q74" s="189"/>
      <c r="R74" s="190"/>
    </row>
    <row r="75" spans="1:18" s="91" customFormat="1" ht="15" customHeight="1" x14ac:dyDescent="0.25">
      <c r="A75" s="199"/>
      <c r="B75" s="200"/>
      <c r="C75" s="200"/>
      <c r="D75" s="200"/>
      <c r="E75" s="200"/>
      <c r="F75" s="200"/>
      <c r="G75" s="200"/>
      <c r="H75" s="200"/>
      <c r="I75" s="200"/>
      <c r="J75" s="201"/>
      <c r="K75" s="45" t="s">
        <v>57</v>
      </c>
      <c r="L75" s="34"/>
      <c r="M75" s="33" t="s">
        <v>58</v>
      </c>
      <c r="N75" s="46" t="e">
        <f>N74/(1+L75/L76)</f>
        <v>#DIV/0!</v>
      </c>
      <c r="O75" s="47" t="s">
        <v>59</v>
      </c>
      <c r="P75" s="48" t="e">
        <f>3.281*((0.03*B79*B80^3*1025.8-54*P74)/L65-0.0625*B79)+0.25</f>
        <v>#DIV/0!</v>
      </c>
      <c r="Q75" s="191"/>
      <c r="R75" s="192"/>
    </row>
    <row r="76" spans="1:18" s="91" customFormat="1" ht="15" customHeight="1" thickBot="1" x14ac:dyDescent="0.3">
      <c r="A76" s="202"/>
      <c r="B76" s="203"/>
      <c r="C76" s="203"/>
      <c r="D76" s="203"/>
      <c r="E76" s="203"/>
      <c r="F76" s="203"/>
      <c r="G76" s="203"/>
      <c r="H76" s="203"/>
      <c r="I76" s="203"/>
      <c r="J76" s="204"/>
      <c r="K76" s="49" t="s">
        <v>60</v>
      </c>
      <c r="L76" s="50"/>
      <c r="M76" s="205" t="s">
        <v>61</v>
      </c>
      <c r="N76" s="206"/>
      <c r="O76" s="206"/>
      <c r="P76" s="207"/>
      <c r="Q76" s="208">
        <v>2013</v>
      </c>
      <c r="R76" s="208"/>
    </row>
    <row r="77" spans="1:18" s="91" customFormat="1" ht="15" customHeight="1" x14ac:dyDescent="0.25">
      <c r="A77" s="209" t="s">
        <v>62</v>
      </c>
      <c r="B77" s="210"/>
      <c r="C77" s="210"/>
      <c r="D77" s="210"/>
      <c r="E77" s="210"/>
      <c r="F77" s="210"/>
      <c r="G77" s="210"/>
      <c r="H77" s="210"/>
      <c r="I77" s="210"/>
      <c r="J77" s="211"/>
      <c r="K77" s="180" t="s">
        <v>63</v>
      </c>
      <c r="L77" s="181"/>
      <c r="M77" s="181"/>
      <c r="N77" s="181"/>
      <c r="O77" s="181"/>
      <c r="P77" s="181"/>
      <c r="Q77" s="181"/>
      <c r="R77" s="182"/>
    </row>
    <row r="78" spans="1:18" s="91" customFormat="1" ht="15" customHeight="1" x14ac:dyDescent="0.25">
      <c r="A78" s="242" t="s">
        <v>64</v>
      </c>
      <c r="B78" s="243"/>
      <c r="C78" s="244" t="s">
        <v>65</v>
      </c>
      <c r="D78" s="245"/>
      <c r="E78" s="246" t="s">
        <v>66</v>
      </c>
      <c r="F78" s="247"/>
      <c r="G78" s="142" t="s">
        <v>67</v>
      </c>
      <c r="H78" s="250"/>
      <c r="I78" s="250"/>
      <c r="J78" s="143"/>
      <c r="K78" s="193" t="s">
        <v>68</v>
      </c>
      <c r="L78" s="194"/>
      <c r="M78" s="195" t="s">
        <v>69</v>
      </c>
      <c r="N78" s="196"/>
      <c r="O78" s="227" t="s">
        <v>70</v>
      </c>
      <c r="P78" s="194"/>
      <c r="Q78" s="195" t="s">
        <v>71</v>
      </c>
      <c r="R78" s="228"/>
    </row>
    <row r="79" spans="1:18" s="91" customFormat="1" ht="15" customHeight="1" x14ac:dyDescent="0.25">
      <c r="A79" s="10" t="s">
        <v>72</v>
      </c>
      <c r="B79" s="44">
        <v>6.7510000000000003</v>
      </c>
      <c r="C79" s="51" t="s">
        <v>73</v>
      </c>
      <c r="D79" s="52">
        <v>23.36</v>
      </c>
      <c r="E79" s="248"/>
      <c r="F79" s="249"/>
      <c r="G79" s="53" t="s">
        <v>74</v>
      </c>
      <c r="H79" s="54">
        <f>3600/(0.5*( D88+F88))</f>
        <v>635.92706531750434</v>
      </c>
      <c r="I79" s="55" t="s">
        <v>75</v>
      </c>
      <c r="J79" s="56">
        <f>I86</f>
        <v>5.941667065441858</v>
      </c>
      <c r="K79" s="10" t="s">
        <v>76</v>
      </c>
      <c r="L79" s="57"/>
      <c r="M79" s="18" t="s">
        <v>77</v>
      </c>
      <c r="N79" s="57"/>
      <c r="O79" s="18" t="s">
        <v>78</v>
      </c>
      <c r="P79" s="58"/>
      <c r="Q79" s="18" t="s">
        <v>79</v>
      </c>
      <c r="R79" s="59"/>
    </row>
    <row r="80" spans="1:18" s="91" customFormat="1" ht="15" customHeight="1" x14ac:dyDescent="0.25">
      <c r="A80" s="10" t="s">
        <v>80</v>
      </c>
      <c r="B80" s="44"/>
      <c r="C80" s="18" t="s">
        <v>81</v>
      </c>
      <c r="D80" s="52">
        <v>14.6</v>
      </c>
      <c r="E80" s="60" t="s">
        <v>82</v>
      </c>
      <c r="F80" s="61">
        <v>13.24</v>
      </c>
      <c r="G80" s="62" t="s">
        <v>83</v>
      </c>
      <c r="H80" s="63">
        <f>3600/H79</f>
        <v>5.6610265490156477</v>
      </c>
      <c r="I80" s="64" t="s">
        <v>84</v>
      </c>
      <c r="J80" s="56">
        <f>I87</f>
        <v>12.479562635391137</v>
      </c>
      <c r="K80" s="65" t="s">
        <v>85</v>
      </c>
      <c r="L80" s="57"/>
      <c r="M80" s="18" t="s">
        <v>86</v>
      </c>
      <c r="N80" s="57"/>
      <c r="O80" s="18" t="s">
        <v>87</v>
      </c>
      <c r="P80" s="58"/>
      <c r="Q80" s="18" t="s">
        <v>88</v>
      </c>
      <c r="R80" s="59"/>
    </row>
    <row r="81" spans="1:18" s="91" customFormat="1" ht="15" customHeight="1" x14ac:dyDescent="0.25">
      <c r="A81" s="66" t="s">
        <v>89</v>
      </c>
      <c r="B81" s="67">
        <f>IF(H68&gt;2012,1,IF(H68&gt;2008,0.995,0.99))</f>
        <v>0.995</v>
      </c>
      <c r="C81" s="18" t="s">
        <v>90</v>
      </c>
      <c r="D81" s="52">
        <f>0.5*P81*P79+2*(P80-0.5*P81)*P79/3</f>
        <v>0</v>
      </c>
      <c r="E81" s="68"/>
      <c r="F81" s="69"/>
      <c r="G81" s="69"/>
      <c r="H81" s="69"/>
      <c r="I81" s="70"/>
      <c r="J81" s="71"/>
      <c r="K81" s="10" t="s">
        <v>91</v>
      </c>
      <c r="L81" s="72"/>
      <c r="M81" s="227"/>
      <c r="N81" s="194"/>
      <c r="O81" s="18" t="s">
        <v>92</v>
      </c>
      <c r="P81" s="73">
        <f>0.8*P80</f>
        <v>0</v>
      </c>
      <c r="Q81" s="18" t="s">
        <v>93</v>
      </c>
      <c r="R81" s="59"/>
    </row>
    <row r="82" spans="1:18" s="91" customFormat="1" ht="15" customHeight="1" x14ac:dyDescent="0.25">
      <c r="A82" s="10" t="s">
        <v>94</v>
      </c>
      <c r="B82" s="35">
        <f>J71-J70</f>
        <v>0.995</v>
      </c>
      <c r="C82" s="18" t="s">
        <v>95</v>
      </c>
      <c r="D82" s="52">
        <v>67.010000000000005</v>
      </c>
      <c r="E82" s="74"/>
      <c r="F82" s="74"/>
      <c r="G82" s="74"/>
      <c r="H82" s="74"/>
      <c r="I82" s="74"/>
      <c r="J82" s="74"/>
      <c r="K82" s="10" t="s">
        <v>96</v>
      </c>
      <c r="L82" s="75"/>
      <c r="M82" s="187"/>
      <c r="N82" s="229"/>
      <c r="O82" s="229"/>
      <c r="P82" s="230"/>
      <c r="Q82" s="18" t="s">
        <v>97</v>
      </c>
      <c r="R82" s="59"/>
    </row>
    <row r="83" spans="1:18" s="91" customFormat="1" ht="15" customHeight="1" x14ac:dyDescent="0.25">
      <c r="A83" s="10" t="s">
        <v>98</v>
      </c>
      <c r="B83" s="67">
        <f>IF(H69="шверт",1.005,1)</f>
        <v>1</v>
      </c>
      <c r="C83" s="16" t="s">
        <v>99</v>
      </c>
      <c r="D83" s="76">
        <f>D79+MAX(D81,D80,D82)</f>
        <v>90.37</v>
      </c>
      <c r="E83" s="77"/>
      <c r="F83" s="78"/>
      <c r="G83" s="78"/>
      <c r="H83" s="78"/>
      <c r="I83" s="78"/>
      <c r="J83" s="78"/>
      <c r="K83" s="10" t="s">
        <v>100</v>
      </c>
      <c r="L83" s="75"/>
      <c r="M83" s="191"/>
      <c r="N83" s="231"/>
      <c r="O83" s="231"/>
      <c r="P83" s="232"/>
      <c r="Q83" s="227"/>
      <c r="R83" s="233"/>
    </row>
    <row r="84" spans="1:18" s="91" customFormat="1" ht="15" customHeight="1" x14ac:dyDescent="0.25">
      <c r="A84" s="234"/>
      <c r="B84" s="235"/>
      <c r="C84" s="16" t="s">
        <v>101</v>
      </c>
      <c r="D84" s="79">
        <f>D79+D80</f>
        <v>37.96</v>
      </c>
      <c r="E84" s="236" t="s">
        <v>102</v>
      </c>
      <c r="F84" s="237"/>
      <c r="G84" s="237"/>
      <c r="H84" s="237"/>
      <c r="I84" s="238"/>
      <c r="J84" s="80" t="s">
        <v>103</v>
      </c>
      <c r="K84" s="239"/>
      <c r="L84" s="240"/>
      <c r="M84" s="240"/>
      <c r="N84" s="240"/>
      <c r="O84" s="240"/>
      <c r="P84" s="240"/>
      <c r="Q84" s="240"/>
      <c r="R84" s="241"/>
    </row>
    <row r="85" spans="1:18" s="91" customFormat="1" ht="15" customHeight="1" thickBot="1" x14ac:dyDescent="0.3">
      <c r="A85" s="212" t="s">
        <v>104</v>
      </c>
      <c r="B85" s="213"/>
      <c r="C85" s="81">
        <v>6</v>
      </c>
      <c r="D85" s="81">
        <v>8</v>
      </c>
      <c r="E85" s="81">
        <v>10</v>
      </c>
      <c r="F85" s="81">
        <v>12</v>
      </c>
      <c r="G85" s="81">
        <v>14</v>
      </c>
      <c r="H85" s="81">
        <v>16</v>
      </c>
      <c r="I85" s="82">
        <v>20</v>
      </c>
      <c r="J85" s="83">
        <f>AVERAGE(J86:J92)</f>
        <v>6.4350060201533141</v>
      </c>
      <c r="K85" s="164" t="s">
        <v>105</v>
      </c>
      <c r="L85" s="165"/>
      <c r="M85" s="214" t="e">
        <f>IF(P75&gt;-0.25,"SV непригодно для категории гонок 0,1,2 и3"," ")</f>
        <v>#DIV/0!</v>
      </c>
      <c r="N85" s="215"/>
      <c r="O85" s="215"/>
      <c r="P85" s="215"/>
      <c r="Q85" s="215"/>
      <c r="R85" s="216"/>
    </row>
    <row r="86" spans="1:18" s="91" customFormat="1" ht="15" customHeight="1" x14ac:dyDescent="0.25">
      <c r="A86" s="217" t="s">
        <v>106</v>
      </c>
      <c r="B86" s="218"/>
      <c r="C86" s="63">
        <f>SQRT(C85/I85)*I86</f>
        <v>3.2543850809280293</v>
      </c>
      <c r="D86" s="63">
        <f>SQRT(D85/I85)*I86</f>
        <v>3.757840205041</v>
      </c>
      <c r="E86" s="63">
        <f>SQRT(E85/I85)*I86</f>
        <v>4.2013930735267122</v>
      </c>
      <c r="F86" s="63">
        <f>SQRT(F85/I85)*I86</f>
        <v>4.6023955186330818</v>
      </c>
      <c r="G86" s="63">
        <f>SQRT(G85/I85)*I86</f>
        <v>4.9711553246292279</v>
      </c>
      <c r="H86" s="63">
        <f>SQRT(H85/I85)*I86</f>
        <v>5.3143885831998743</v>
      </c>
      <c r="I86" s="63">
        <f>(D84^(0.25)/((0.001*L65)^(1/6)))*SQRT(B79)*B81*B82</f>
        <v>5.941667065441858</v>
      </c>
      <c r="J86" s="84">
        <f t="shared" ref="J86:J92" si="6">AVERAGE(C86:I86)</f>
        <v>4.577603550199969</v>
      </c>
      <c r="K86" s="219" t="s">
        <v>107</v>
      </c>
      <c r="L86" s="220"/>
      <c r="M86" s="221"/>
      <c r="N86" s="222"/>
      <c r="O86" s="222"/>
      <c r="P86" s="222"/>
      <c r="Q86" s="222"/>
      <c r="R86" s="223"/>
    </row>
    <row r="87" spans="1:18" s="91" customFormat="1" ht="15" customHeight="1" x14ac:dyDescent="0.25">
      <c r="A87" s="217" t="s">
        <v>108</v>
      </c>
      <c r="B87" s="218"/>
      <c r="C87" s="63">
        <f>SQRT(C85/I85)*SQRT(D83/(SQRT(0.69)*F80))*SQRT(B79)*B81*B82*B83</f>
        <v>4.038747653945121</v>
      </c>
      <c r="D87" s="63">
        <f>SQRT(D85/I85)*SQRT(D83/(0.52*F80))*SQRT(B79)*B81*B82*B83</f>
        <v>5.894224698510377</v>
      </c>
      <c r="E87" s="63">
        <f>SQRT(E85/I85)*SQRT(D83/(0.44*F80))*SQRT(B79)*B81*B82*B83</f>
        <v>7.1640239323975186</v>
      </c>
      <c r="F87" s="63">
        <f>SQRT(F85/I85)*SQRT(D83/(0.385*F80))*SQRT(B79)*B81*B82*B83</f>
        <v>8.3896457738781312</v>
      </c>
      <c r="G87" s="63">
        <f>SQRT(G85/I85)*SQRT(D83/(0.35*F80))*SQRT(B79)*B81*B82*B83</f>
        <v>9.5041517491555929</v>
      </c>
      <c r="H87" s="63">
        <f>SQRT(H85/I85)*SQRT(D83/(0.323*F80))*SQRT(B79)*B81*B82*B83</f>
        <v>10.57650298746872</v>
      </c>
      <c r="I87" s="63">
        <f>SQRT(D83/(0.29*F80))*SQRT(B79)*B81*B82*B83</f>
        <v>12.479562635391137</v>
      </c>
      <c r="J87" s="84">
        <f t="shared" si="6"/>
        <v>8.2924084901066575</v>
      </c>
      <c r="K87" s="85" t="s">
        <v>109</v>
      </c>
      <c r="L87" s="86"/>
      <c r="M87" s="87">
        <v>2013</v>
      </c>
      <c r="N87" s="268"/>
      <c r="O87" s="269"/>
      <c r="P87" s="269"/>
      <c r="Q87" s="269"/>
      <c r="R87" s="270"/>
    </row>
    <row r="88" spans="1:18" s="91" customFormat="1" ht="15" customHeight="1" x14ac:dyDescent="0.25">
      <c r="A88" s="251" t="s">
        <v>110</v>
      </c>
      <c r="B88" s="252"/>
      <c r="C88" s="63">
        <f>0.5*(C86+C87)</f>
        <v>3.6465663674365754</v>
      </c>
      <c r="D88" s="63">
        <f t="shared" ref="D88:I88" si="7">0.5*(D86+D87)</f>
        <v>4.8260324517756885</v>
      </c>
      <c r="E88" s="63">
        <f t="shared" si="7"/>
        <v>5.6827085029621154</v>
      </c>
      <c r="F88" s="63">
        <f t="shared" si="7"/>
        <v>6.4960206462556069</v>
      </c>
      <c r="G88" s="63">
        <f t="shared" si="7"/>
        <v>7.2376535368924104</v>
      </c>
      <c r="H88" s="63">
        <f t="shared" si="7"/>
        <v>7.9454457853342966</v>
      </c>
      <c r="I88" s="63">
        <f t="shared" si="7"/>
        <v>9.2106148504164977</v>
      </c>
      <c r="J88" s="84">
        <f t="shared" si="6"/>
        <v>6.4350060201533124</v>
      </c>
      <c r="K88" s="166" t="s">
        <v>111</v>
      </c>
      <c r="L88" s="167"/>
      <c r="M88" s="87">
        <v>42859</v>
      </c>
      <c r="N88" s="271"/>
      <c r="O88" s="272"/>
      <c r="P88" s="272"/>
      <c r="Q88" s="272"/>
      <c r="R88" s="273"/>
    </row>
    <row r="89" spans="1:18" s="91" customFormat="1" ht="15" customHeight="1" x14ac:dyDescent="0.25">
      <c r="A89" s="251" t="s">
        <v>112</v>
      </c>
      <c r="B89" s="252"/>
      <c r="C89" s="63">
        <f>0.85*C86+0.15*C87</f>
        <v>3.3720394668805929</v>
      </c>
      <c r="D89" s="63">
        <f t="shared" ref="D89:I89" si="8">0.85*D86+0.15*D87</f>
        <v>4.078297879061406</v>
      </c>
      <c r="E89" s="63">
        <f t="shared" si="8"/>
        <v>4.6457877023573326</v>
      </c>
      <c r="F89" s="63">
        <f t="shared" si="8"/>
        <v>5.1704830569198394</v>
      </c>
      <c r="G89" s="63">
        <f t="shared" si="8"/>
        <v>5.6511047883081833</v>
      </c>
      <c r="H89" s="63">
        <f t="shared" si="8"/>
        <v>6.1037057438402007</v>
      </c>
      <c r="I89" s="63">
        <f t="shared" si="8"/>
        <v>6.9223514009342502</v>
      </c>
      <c r="J89" s="84">
        <f t="shared" si="6"/>
        <v>5.1348242911859723</v>
      </c>
      <c r="K89" s="224" t="s">
        <v>113</v>
      </c>
      <c r="L89" s="225"/>
      <c r="M89" s="184"/>
      <c r="N89" s="274"/>
      <c r="O89" s="274"/>
      <c r="P89" s="274"/>
      <c r="Q89" s="274"/>
      <c r="R89" s="185"/>
    </row>
    <row r="90" spans="1:18" s="91" customFormat="1" ht="15" customHeight="1" x14ac:dyDescent="0.25">
      <c r="A90" s="251" t="s">
        <v>114</v>
      </c>
      <c r="B90" s="252"/>
      <c r="C90" s="63">
        <f>0.75*C86+0.25*C87</f>
        <v>3.4504757241823021</v>
      </c>
      <c r="D90" s="63">
        <f t="shared" ref="D90:I90" si="9">0.75*D86+0.25*D87</f>
        <v>4.2919363284083447</v>
      </c>
      <c r="E90" s="63">
        <f t="shared" si="9"/>
        <v>4.9420507882444138</v>
      </c>
      <c r="F90" s="63">
        <f t="shared" si="9"/>
        <v>5.5492080824443448</v>
      </c>
      <c r="G90" s="63">
        <f t="shared" si="9"/>
        <v>6.1044044307608196</v>
      </c>
      <c r="H90" s="63">
        <f t="shared" si="9"/>
        <v>6.6299171842670859</v>
      </c>
      <c r="I90" s="63">
        <f t="shared" si="9"/>
        <v>7.5761409579291774</v>
      </c>
      <c r="J90" s="84">
        <f t="shared" si="6"/>
        <v>5.5063047851766411</v>
      </c>
      <c r="K90" s="253"/>
      <c r="L90" s="254"/>
      <c r="M90" s="254"/>
      <c r="N90" s="254"/>
      <c r="O90" s="254"/>
      <c r="P90" s="254"/>
      <c r="Q90" s="254"/>
      <c r="R90" s="255"/>
    </row>
    <row r="91" spans="1:18" s="91" customFormat="1" ht="15" customHeight="1" x14ac:dyDescent="0.25">
      <c r="A91" s="259" t="s">
        <v>115</v>
      </c>
      <c r="B91" s="260"/>
      <c r="C91" s="63">
        <f>0.25*C86+0.75*C87</f>
        <v>3.8426570106908482</v>
      </c>
      <c r="D91" s="63">
        <f t="shared" ref="D91:I91" si="10">0.25*D86+0.75*D87</f>
        <v>5.3601285751430323</v>
      </c>
      <c r="E91" s="63">
        <f t="shared" si="10"/>
        <v>6.423366217679817</v>
      </c>
      <c r="F91" s="63">
        <f t="shared" si="10"/>
        <v>7.442833210066869</v>
      </c>
      <c r="G91" s="63">
        <f t="shared" si="10"/>
        <v>8.3709026430240012</v>
      </c>
      <c r="H91" s="63">
        <f t="shared" si="10"/>
        <v>9.2609743864015073</v>
      </c>
      <c r="I91" s="63">
        <f t="shared" si="10"/>
        <v>10.845088742903817</v>
      </c>
      <c r="J91" s="84">
        <f t="shared" si="6"/>
        <v>7.3637072551299854</v>
      </c>
      <c r="K91" s="256"/>
      <c r="L91" s="257"/>
      <c r="M91" s="257"/>
      <c r="N91" s="257"/>
      <c r="O91" s="257"/>
      <c r="P91" s="257"/>
      <c r="Q91" s="257"/>
      <c r="R91" s="258"/>
    </row>
    <row r="92" spans="1:18" s="91" customFormat="1" ht="15" customHeight="1" thickBot="1" x14ac:dyDescent="0.3">
      <c r="A92" s="261" t="s">
        <v>116</v>
      </c>
      <c r="B92" s="262"/>
      <c r="C92" s="88">
        <f>0.15*C86+0.85*C87</f>
        <v>3.921093267992557</v>
      </c>
      <c r="D92" s="88">
        <f t="shared" ref="D92:I92" si="11">0.15*D86+0.85*D87</f>
        <v>5.5737670244899702</v>
      </c>
      <c r="E92" s="88">
        <f t="shared" si="11"/>
        <v>6.7196293035668981</v>
      </c>
      <c r="F92" s="88">
        <f t="shared" si="11"/>
        <v>7.8215582355913735</v>
      </c>
      <c r="G92" s="88">
        <f t="shared" si="11"/>
        <v>8.8242022854766393</v>
      </c>
      <c r="H92" s="88">
        <f t="shared" si="11"/>
        <v>9.7871858268283916</v>
      </c>
      <c r="I92" s="88">
        <f t="shared" si="11"/>
        <v>11.498878299898745</v>
      </c>
      <c r="J92" s="89">
        <f t="shared" si="6"/>
        <v>7.7351877491206533</v>
      </c>
      <c r="K92" s="263"/>
      <c r="L92" s="264"/>
      <c r="M92" s="264"/>
      <c r="N92" s="264"/>
      <c r="O92" s="264"/>
      <c r="P92" s="265"/>
      <c r="Q92" s="266" t="s">
        <v>0</v>
      </c>
      <c r="R92" s="267"/>
    </row>
    <row r="93" spans="1:18" s="91" customFormat="1" ht="15" customHeight="1" thickBot="1" x14ac:dyDescent="0.3">
      <c r="A93" s="90">
        <v>3</v>
      </c>
      <c r="B93" s="124" t="s">
        <v>117</v>
      </c>
      <c r="C93" s="124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4"/>
    </row>
    <row r="94" spans="1:18" s="91" customFormat="1" ht="15" customHeight="1" thickBot="1" x14ac:dyDescent="0.3">
      <c r="A94" s="127" t="s">
        <v>0</v>
      </c>
      <c r="B94" s="128"/>
      <c r="C94" s="128"/>
      <c r="D94" s="128"/>
      <c r="E94" s="129"/>
      <c r="F94" s="130" t="s">
        <v>1</v>
      </c>
      <c r="G94" s="131"/>
      <c r="H94" s="132"/>
      <c r="I94" s="1" t="str">
        <f>CONCATENATE(B96,".01")</f>
        <v>215.01</v>
      </c>
      <c r="J94" s="2" t="s">
        <v>2</v>
      </c>
      <c r="K94" s="133" t="s">
        <v>3</v>
      </c>
      <c r="L94" s="134"/>
      <c r="M94" s="135"/>
      <c r="N94" s="3" t="str">
        <f>I94</f>
        <v>215.01</v>
      </c>
      <c r="O94" s="136" t="s">
        <v>4</v>
      </c>
      <c r="P94" s="137"/>
      <c r="Q94" s="138"/>
      <c r="R94" s="4" t="s">
        <v>5</v>
      </c>
    </row>
    <row r="95" spans="1:18" s="91" customFormat="1" ht="15" customHeight="1" x14ac:dyDescent="0.25">
      <c r="A95" s="139" t="s">
        <v>124</v>
      </c>
      <c r="B95" s="140"/>
      <c r="C95" s="141"/>
      <c r="D95" s="142" t="s">
        <v>6</v>
      </c>
      <c r="E95" s="143"/>
      <c r="F95" s="144" t="s">
        <v>7</v>
      </c>
      <c r="G95" s="145"/>
      <c r="H95" s="145"/>
      <c r="I95" s="145"/>
      <c r="J95" s="146"/>
      <c r="K95" s="147" t="s">
        <v>8</v>
      </c>
      <c r="L95" s="148"/>
      <c r="M95" s="148"/>
      <c r="N95" s="149"/>
      <c r="O95" s="150" t="s">
        <v>9</v>
      </c>
      <c r="P95" s="151"/>
      <c r="Q95" s="151"/>
      <c r="R95" s="152"/>
    </row>
    <row r="96" spans="1:18" s="91" customFormat="1" ht="15" customHeight="1" x14ac:dyDescent="0.25">
      <c r="A96" s="5" t="s">
        <v>10</v>
      </c>
      <c r="B96" s="6">
        <v>215</v>
      </c>
      <c r="C96" s="7"/>
      <c r="D96" s="157">
        <f>INT(457468*H110^(-1.475))</f>
        <v>33</v>
      </c>
      <c r="E96" s="158"/>
      <c r="F96" s="8" t="s">
        <v>11</v>
      </c>
      <c r="G96" s="9"/>
      <c r="H96" s="159" t="s">
        <v>125</v>
      </c>
      <c r="I96" s="160"/>
      <c r="J96" s="161"/>
      <c r="K96" s="10" t="s">
        <v>12</v>
      </c>
      <c r="L96" s="11">
        <v>3233</v>
      </c>
      <c r="M96" s="162"/>
      <c r="N96" s="163"/>
      <c r="O96" s="12" t="s">
        <v>13</v>
      </c>
      <c r="P96" s="13"/>
      <c r="Q96" s="14" t="s">
        <v>14</v>
      </c>
      <c r="R96" s="15">
        <v>12</v>
      </c>
    </row>
    <row r="97" spans="1:18" s="91" customFormat="1" ht="15" customHeight="1" x14ac:dyDescent="0.25">
      <c r="A97" s="164"/>
      <c r="B97" s="165"/>
      <c r="C97" s="16"/>
      <c r="D97" s="157" t="s">
        <v>217</v>
      </c>
      <c r="E97" s="158"/>
      <c r="F97" s="166" t="s">
        <v>15</v>
      </c>
      <c r="G97" s="167"/>
      <c r="H97" s="159" t="s">
        <v>126</v>
      </c>
      <c r="I97" s="160"/>
      <c r="J97" s="161"/>
      <c r="K97" s="10" t="s">
        <v>16</v>
      </c>
      <c r="L97" s="17">
        <v>8.3000000000000007</v>
      </c>
      <c r="M97" s="18" t="s">
        <v>17</v>
      </c>
      <c r="N97" s="19">
        <v>3.0049999999999999</v>
      </c>
      <c r="O97" s="20" t="s">
        <v>18</v>
      </c>
      <c r="P97" s="21"/>
      <c r="Q97" s="22" t="s">
        <v>19</v>
      </c>
      <c r="R97" s="23">
        <v>8</v>
      </c>
    </row>
    <row r="98" spans="1:18" s="91" customFormat="1" ht="15" customHeight="1" x14ac:dyDescent="0.25">
      <c r="A98" s="174" t="s">
        <v>20</v>
      </c>
      <c r="B98" s="175"/>
      <c r="C98" s="176"/>
      <c r="D98" s="125" t="s">
        <v>21</v>
      </c>
      <c r="E98" s="126"/>
      <c r="F98" s="166" t="s">
        <v>22</v>
      </c>
      <c r="G98" s="167"/>
      <c r="H98" s="159" t="s">
        <v>127</v>
      </c>
      <c r="I98" s="160"/>
      <c r="J98" s="161"/>
      <c r="K98" s="10" t="s">
        <v>23</v>
      </c>
      <c r="L98" s="17">
        <v>0</v>
      </c>
      <c r="M98" s="18" t="s">
        <v>24</v>
      </c>
      <c r="N98" s="19">
        <v>0.25</v>
      </c>
      <c r="O98" s="20" t="s">
        <v>25</v>
      </c>
      <c r="P98" s="21">
        <v>15</v>
      </c>
      <c r="Q98" s="22" t="s">
        <v>26</v>
      </c>
      <c r="R98" s="23"/>
    </row>
    <row r="99" spans="1:18" s="91" customFormat="1" ht="15" customHeight="1" thickBot="1" x14ac:dyDescent="0.3">
      <c r="A99" s="174" t="s">
        <v>27</v>
      </c>
      <c r="B99" s="175"/>
      <c r="C99" s="176"/>
      <c r="D99" s="177" t="s">
        <v>28</v>
      </c>
      <c r="E99" s="149"/>
      <c r="F99" s="224" t="s">
        <v>29</v>
      </c>
      <c r="G99" s="225"/>
      <c r="H99" s="277">
        <v>2016</v>
      </c>
      <c r="I99" s="281"/>
      <c r="J99" s="282"/>
      <c r="K99" s="24" t="s">
        <v>30</v>
      </c>
      <c r="L99" s="17">
        <v>0</v>
      </c>
      <c r="M99" s="25" t="s">
        <v>31</v>
      </c>
      <c r="N99" s="19">
        <v>0.27</v>
      </c>
      <c r="O99" s="26" t="s">
        <v>32</v>
      </c>
      <c r="P99" s="27">
        <v>10</v>
      </c>
      <c r="Q99" s="28" t="s">
        <v>33</v>
      </c>
      <c r="R99" s="29"/>
    </row>
    <row r="100" spans="1:18" s="91" customFormat="1" ht="15" customHeight="1" x14ac:dyDescent="0.25">
      <c r="A100" s="174" t="s">
        <v>34</v>
      </c>
      <c r="B100" s="175"/>
      <c r="C100" s="176"/>
      <c r="D100" s="177" t="s">
        <v>35</v>
      </c>
      <c r="E100" s="149"/>
      <c r="F100" s="166" t="s">
        <v>36</v>
      </c>
      <c r="G100" s="167"/>
      <c r="H100" s="277" t="s">
        <v>128</v>
      </c>
      <c r="I100" s="281"/>
      <c r="J100" s="282"/>
      <c r="K100" s="180" t="s">
        <v>37</v>
      </c>
      <c r="L100" s="181"/>
      <c r="M100" s="181"/>
      <c r="N100" s="181"/>
      <c r="O100" s="181"/>
      <c r="P100" s="181"/>
      <c r="Q100" s="181"/>
      <c r="R100" s="182"/>
    </row>
    <row r="101" spans="1:18" s="91" customFormat="1" ht="15" customHeight="1" x14ac:dyDescent="0.25">
      <c r="A101" s="147" t="s">
        <v>35</v>
      </c>
      <c r="B101" s="148"/>
      <c r="C101" s="183"/>
      <c r="D101" s="184"/>
      <c r="E101" s="185"/>
      <c r="F101" s="166" t="s">
        <v>38</v>
      </c>
      <c r="G101" s="167"/>
      <c r="H101" s="283" t="s">
        <v>129</v>
      </c>
      <c r="I101" s="284"/>
      <c r="J101" s="30">
        <f>IF(H102="Подвесной мотор",0,IF(H101="Литой",0.005,0))</f>
        <v>0</v>
      </c>
      <c r="K101" s="31" t="s">
        <v>39</v>
      </c>
      <c r="L101" s="32">
        <v>5.2</v>
      </c>
      <c r="M101" s="33" t="s">
        <v>40</v>
      </c>
      <c r="N101" s="34">
        <v>0.02</v>
      </c>
      <c r="O101" s="18" t="s">
        <v>41</v>
      </c>
      <c r="P101" s="35">
        <f>L101*L105*N106*0.0175/N101</f>
        <v>62.795237757406028</v>
      </c>
      <c r="Q101" s="187"/>
      <c r="R101" s="188"/>
    </row>
    <row r="102" spans="1:18" s="91" customFormat="1" ht="15" customHeight="1" thickBot="1" x14ac:dyDescent="0.3">
      <c r="A102" s="168"/>
      <c r="B102" s="275"/>
      <c r="C102" s="276"/>
      <c r="D102" s="171"/>
      <c r="E102" s="172"/>
      <c r="F102" s="166" t="s">
        <v>42</v>
      </c>
      <c r="G102" s="167"/>
      <c r="H102" s="277" t="s">
        <v>130</v>
      </c>
      <c r="I102" s="278"/>
      <c r="J102" s="30">
        <f>IF(H102="Без двигателя",1,IF(H102="Подвесной мотор",0.995,IF(H102="Привод в кронштейне",0.99,IF(H102="Открытый вал",0.98,IF(H102="Закрытый вал",0.97,IF(H102="В вырезе",0.96,"Установка ? "))))))</f>
        <v>0.99</v>
      </c>
      <c r="K102" s="31" t="s">
        <v>43</v>
      </c>
      <c r="L102" s="32">
        <v>10.4</v>
      </c>
      <c r="M102" s="33" t="s">
        <v>44</v>
      </c>
      <c r="N102" s="34">
        <v>0.04</v>
      </c>
      <c r="O102" s="18" t="s">
        <v>45</v>
      </c>
      <c r="P102" s="35">
        <f>L102*L105*N106*0.0175/N102</f>
        <v>62.795237757406028</v>
      </c>
      <c r="Q102" s="189"/>
      <c r="R102" s="190"/>
    </row>
    <row r="103" spans="1:18" s="91" customFormat="1" ht="15" customHeight="1" x14ac:dyDescent="0.25">
      <c r="A103" s="36"/>
      <c r="B103" s="37"/>
      <c r="C103" s="37"/>
      <c r="D103" s="37"/>
      <c r="E103" s="37"/>
      <c r="F103" s="144" t="s">
        <v>46</v>
      </c>
      <c r="G103" s="153"/>
      <c r="H103" s="154"/>
      <c r="I103" s="155"/>
      <c r="J103" s="156"/>
      <c r="K103" s="38" t="s">
        <v>47</v>
      </c>
      <c r="L103" s="32">
        <v>15.4</v>
      </c>
      <c r="M103" s="33" t="s">
        <v>48</v>
      </c>
      <c r="N103" s="34">
        <v>0.06</v>
      </c>
      <c r="O103" s="18" t="s">
        <v>49</v>
      </c>
      <c r="P103" s="35">
        <f>L103*L105*N106*0.0175/N103</f>
        <v>61.990170606670048</v>
      </c>
      <c r="Q103" s="189"/>
      <c r="R103" s="190"/>
    </row>
    <row r="104" spans="1:18" s="91" customFormat="1" ht="15" customHeight="1" x14ac:dyDescent="0.25">
      <c r="A104" s="36"/>
      <c r="B104" s="37"/>
      <c r="C104" s="37"/>
      <c r="D104" s="37"/>
      <c r="E104" s="37"/>
      <c r="F104" s="39"/>
      <c r="G104" s="37"/>
      <c r="H104" s="37"/>
      <c r="I104" s="37"/>
      <c r="J104" s="37"/>
      <c r="K104" s="38" t="s">
        <v>50</v>
      </c>
      <c r="L104" s="40">
        <v>20.399999999999999</v>
      </c>
      <c r="M104" s="33" t="s">
        <v>51</v>
      </c>
      <c r="N104" s="34">
        <v>0.09</v>
      </c>
      <c r="O104" s="18" t="s">
        <v>52</v>
      </c>
      <c r="P104" s="35">
        <f>L104*L105*N106*0.0175/N104</f>
        <v>54.744566250046276</v>
      </c>
      <c r="Q104" s="189"/>
      <c r="R104" s="190"/>
    </row>
    <row r="105" spans="1:18" s="91" customFormat="1" ht="15" customHeight="1" x14ac:dyDescent="0.25">
      <c r="A105" s="197" t="s">
        <v>53</v>
      </c>
      <c r="B105" s="198"/>
      <c r="C105" s="41"/>
      <c r="D105" s="41"/>
      <c r="E105" s="41"/>
      <c r="F105" s="42"/>
      <c r="G105" s="41"/>
      <c r="H105" s="41"/>
      <c r="I105" s="41"/>
      <c r="J105" s="41"/>
      <c r="K105" s="31" t="s">
        <v>54</v>
      </c>
      <c r="L105" s="43">
        <v>7.1</v>
      </c>
      <c r="M105" s="33" t="s">
        <v>55</v>
      </c>
      <c r="N105" s="34">
        <v>1.9450000000000001</v>
      </c>
      <c r="O105" s="18" t="s">
        <v>56</v>
      </c>
      <c r="P105" s="44">
        <f>AVERAGE(P101:P104)</f>
        <v>60.581303092882095</v>
      </c>
      <c r="Q105" s="189"/>
      <c r="R105" s="190"/>
    </row>
    <row r="106" spans="1:18" s="91" customFormat="1" ht="15" customHeight="1" x14ac:dyDescent="0.25">
      <c r="A106" s="199" t="s">
        <v>131</v>
      </c>
      <c r="B106" s="200"/>
      <c r="C106" s="200"/>
      <c r="D106" s="200"/>
      <c r="E106" s="200"/>
      <c r="F106" s="200"/>
      <c r="G106" s="200"/>
      <c r="H106" s="200"/>
      <c r="I106" s="200"/>
      <c r="J106" s="201"/>
      <c r="K106" s="45" t="s">
        <v>57</v>
      </c>
      <c r="L106" s="34">
        <v>4.9000000000000002E-2</v>
      </c>
      <c r="M106" s="33" t="s">
        <v>58</v>
      </c>
      <c r="N106" s="46">
        <f>N105/(1+L106/L107)</f>
        <v>1.9438241064047677</v>
      </c>
      <c r="O106" s="47" t="s">
        <v>59</v>
      </c>
      <c r="P106" s="48">
        <f>3.281*((0.03*B110*B111^3*1025.8-54*P105)/L96-0.0625*B110)+0.25</f>
        <v>-0.79419005468362491</v>
      </c>
      <c r="Q106" s="191"/>
      <c r="R106" s="192"/>
    </row>
    <row r="107" spans="1:18" s="91" customFormat="1" ht="15" customHeight="1" thickBot="1" x14ac:dyDescent="0.3">
      <c r="A107" s="202" t="s">
        <v>132</v>
      </c>
      <c r="B107" s="203"/>
      <c r="C107" s="203"/>
      <c r="D107" s="203"/>
      <c r="E107" s="203"/>
      <c r="F107" s="203"/>
      <c r="G107" s="203"/>
      <c r="H107" s="203"/>
      <c r="I107" s="203"/>
      <c r="J107" s="204"/>
      <c r="K107" s="49" t="s">
        <v>60</v>
      </c>
      <c r="L107" s="50">
        <v>81</v>
      </c>
      <c r="M107" s="205" t="s">
        <v>61</v>
      </c>
      <c r="N107" s="206"/>
      <c r="O107" s="206"/>
      <c r="P107" s="207"/>
      <c r="Q107" s="285">
        <v>42574</v>
      </c>
      <c r="R107" s="286"/>
    </row>
    <row r="108" spans="1:18" s="91" customFormat="1" ht="15" customHeight="1" x14ac:dyDescent="0.25">
      <c r="A108" s="209" t="s">
        <v>62</v>
      </c>
      <c r="B108" s="210"/>
      <c r="C108" s="210"/>
      <c r="D108" s="210"/>
      <c r="E108" s="210"/>
      <c r="F108" s="210"/>
      <c r="G108" s="210"/>
      <c r="H108" s="210"/>
      <c r="I108" s="210"/>
      <c r="J108" s="211"/>
      <c r="K108" s="180" t="s">
        <v>63</v>
      </c>
      <c r="L108" s="181"/>
      <c r="M108" s="181"/>
      <c r="N108" s="181"/>
      <c r="O108" s="181"/>
      <c r="P108" s="181"/>
      <c r="Q108" s="181"/>
      <c r="R108" s="182"/>
    </row>
    <row r="109" spans="1:18" s="91" customFormat="1" ht="15" customHeight="1" x14ac:dyDescent="0.25">
      <c r="A109" s="242" t="s">
        <v>64</v>
      </c>
      <c r="B109" s="243"/>
      <c r="C109" s="244" t="s">
        <v>65</v>
      </c>
      <c r="D109" s="245"/>
      <c r="E109" s="246" t="s">
        <v>66</v>
      </c>
      <c r="F109" s="247"/>
      <c r="G109" s="142" t="s">
        <v>67</v>
      </c>
      <c r="H109" s="250"/>
      <c r="I109" s="250"/>
      <c r="J109" s="143"/>
      <c r="K109" s="193" t="s">
        <v>68</v>
      </c>
      <c r="L109" s="194"/>
      <c r="M109" s="195" t="s">
        <v>69</v>
      </c>
      <c r="N109" s="196"/>
      <c r="O109" s="227" t="s">
        <v>70</v>
      </c>
      <c r="P109" s="194"/>
      <c r="Q109" s="195" t="s">
        <v>71</v>
      </c>
      <c r="R109" s="228"/>
    </row>
    <row r="110" spans="1:18" s="91" customFormat="1" ht="15" customHeight="1" x14ac:dyDescent="0.25">
      <c r="A110" s="10" t="s">
        <v>72</v>
      </c>
      <c r="B110" s="44">
        <v>8.3000000000000007</v>
      </c>
      <c r="C110" s="51" t="s">
        <v>73</v>
      </c>
      <c r="D110" s="52">
        <f>0.125*L110*(L112+2*L113+3*L114+2*L111)</f>
        <v>25.870599999999996</v>
      </c>
      <c r="E110" s="248"/>
      <c r="F110" s="249"/>
      <c r="G110" s="53" t="s">
        <v>74</v>
      </c>
      <c r="H110" s="54">
        <f>3600/(0.5*( D119+F119))</f>
        <v>638.70403888030194</v>
      </c>
      <c r="I110" s="55" t="s">
        <v>75</v>
      </c>
      <c r="J110" s="56">
        <f>I117</f>
        <v>6.123648096428834</v>
      </c>
      <c r="K110" s="10" t="s">
        <v>76</v>
      </c>
      <c r="L110" s="57">
        <v>10.87</v>
      </c>
      <c r="M110" s="18" t="s">
        <v>77</v>
      </c>
      <c r="N110" s="57">
        <v>11.04</v>
      </c>
      <c r="O110" s="18" t="s">
        <v>78</v>
      </c>
      <c r="P110" s="58">
        <v>11.89</v>
      </c>
      <c r="Q110" s="18" t="s">
        <v>79</v>
      </c>
      <c r="R110" s="59">
        <v>12.63</v>
      </c>
    </row>
    <row r="111" spans="1:18" s="91" customFormat="1" ht="15" customHeight="1" x14ac:dyDescent="0.25">
      <c r="A111" s="10" t="s">
        <v>80</v>
      </c>
      <c r="B111" s="44">
        <f>N97-N98-N99</f>
        <v>2.4849999999999999</v>
      </c>
      <c r="C111" s="18" t="s">
        <v>81</v>
      </c>
      <c r="D111" s="52">
        <f>N110*N111*0.5</f>
        <v>20.589599999999997</v>
      </c>
      <c r="E111" s="60" t="s">
        <v>82</v>
      </c>
      <c r="F111" s="61">
        <f>0.85*B110*B111</f>
        <v>17.531675</v>
      </c>
      <c r="G111" s="62" t="s">
        <v>83</v>
      </c>
      <c r="H111" s="63">
        <f>3600/H110</f>
        <v>5.6364133947095141</v>
      </c>
      <c r="I111" s="64" t="s">
        <v>84</v>
      </c>
      <c r="J111" s="56">
        <f>I118</f>
        <v>12.169834077334048</v>
      </c>
      <c r="K111" s="65" t="s">
        <v>85</v>
      </c>
      <c r="L111" s="57">
        <v>4.24</v>
      </c>
      <c r="M111" s="18" t="s">
        <v>86</v>
      </c>
      <c r="N111" s="57">
        <v>3.73</v>
      </c>
      <c r="O111" s="18" t="s">
        <v>87</v>
      </c>
      <c r="P111" s="58">
        <v>6.86</v>
      </c>
      <c r="Q111" s="18" t="s">
        <v>88</v>
      </c>
      <c r="R111" s="59">
        <v>10.91</v>
      </c>
    </row>
    <row r="112" spans="1:18" s="91" customFormat="1" ht="15" customHeight="1" x14ac:dyDescent="0.25">
      <c r="A112" s="66" t="s">
        <v>89</v>
      </c>
      <c r="B112" s="67">
        <f>IF(H99&gt;2012,1,IF(H99&gt;2008,0.995,0.99))</f>
        <v>1</v>
      </c>
      <c r="C112" s="18" t="s">
        <v>90</v>
      </c>
      <c r="D112" s="52">
        <f>0.5*P112*P110+2*(P111-0.5*P112)*P110/3</f>
        <v>65.252319999999997</v>
      </c>
      <c r="E112" s="68"/>
      <c r="F112" s="69"/>
      <c r="G112" s="69"/>
      <c r="H112" s="69"/>
      <c r="I112" s="70"/>
      <c r="J112" s="71"/>
      <c r="K112" s="10" t="s">
        <v>91</v>
      </c>
      <c r="L112" s="72">
        <v>0.17</v>
      </c>
      <c r="M112" s="227"/>
      <c r="N112" s="194"/>
      <c r="O112" s="18" t="s">
        <v>92</v>
      </c>
      <c r="P112" s="73">
        <f>0.8*P111</f>
        <v>5.4880000000000004</v>
      </c>
      <c r="Q112" s="18" t="s">
        <v>93</v>
      </c>
      <c r="R112" s="59">
        <v>6.73</v>
      </c>
    </row>
    <row r="113" spans="1:18" s="91" customFormat="1" ht="15" customHeight="1" x14ac:dyDescent="0.25">
      <c r="A113" s="10" t="s">
        <v>94</v>
      </c>
      <c r="B113" s="35">
        <f>J102-J101</f>
        <v>0.99</v>
      </c>
      <c r="C113" s="18" t="s">
        <v>95</v>
      </c>
      <c r="D113" s="52">
        <f>(0.5*(R110+R111)*(R112+4*R113))/6</f>
        <v>65.774683333333329</v>
      </c>
      <c r="E113" s="74"/>
      <c r="F113" s="74"/>
      <c r="G113" s="74"/>
      <c r="H113" s="74"/>
      <c r="I113" s="74"/>
      <c r="J113" s="74"/>
      <c r="K113" s="10" t="s">
        <v>96</v>
      </c>
      <c r="L113" s="75">
        <v>1.46</v>
      </c>
      <c r="M113" s="187"/>
      <c r="N113" s="229"/>
      <c r="O113" s="229"/>
      <c r="P113" s="230"/>
      <c r="Q113" s="18" t="s">
        <v>97</v>
      </c>
      <c r="R113" s="59">
        <v>6.7</v>
      </c>
    </row>
    <row r="114" spans="1:18" s="91" customFormat="1" ht="15" customHeight="1" x14ac:dyDescent="0.25">
      <c r="A114" s="10" t="s">
        <v>98</v>
      </c>
      <c r="B114" s="67">
        <f>IF(H100="шверт",1.005,1)</f>
        <v>1.0049999999999999</v>
      </c>
      <c r="C114" s="16" t="s">
        <v>99</v>
      </c>
      <c r="D114" s="76">
        <f>D110+MAX(D112,D111,D113)</f>
        <v>91.645283333333325</v>
      </c>
      <c r="E114" s="77"/>
      <c r="F114" s="78"/>
      <c r="G114" s="78"/>
      <c r="H114" s="78"/>
      <c r="I114" s="78"/>
      <c r="J114" s="78"/>
      <c r="K114" s="10" t="s">
        <v>100</v>
      </c>
      <c r="L114" s="75">
        <v>2.4900000000000002</v>
      </c>
      <c r="M114" s="191"/>
      <c r="N114" s="231"/>
      <c r="O114" s="231"/>
      <c r="P114" s="232"/>
      <c r="Q114" s="227"/>
      <c r="R114" s="233"/>
    </row>
    <row r="115" spans="1:18" s="91" customFormat="1" ht="15" customHeight="1" x14ac:dyDescent="0.25">
      <c r="A115" s="234"/>
      <c r="B115" s="235"/>
      <c r="C115" s="16" t="s">
        <v>101</v>
      </c>
      <c r="D115" s="79">
        <f>D110+D111</f>
        <v>46.460199999999993</v>
      </c>
      <c r="E115" s="236" t="s">
        <v>102</v>
      </c>
      <c r="F115" s="237"/>
      <c r="G115" s="237"/>
      <c r="H115" s="237"/>
      <c r="I115" s="238"/>
      <c r="J115" s="80" t="s">
        <v>103</v>
      </c>
      <c r="K115" s="279"/>
      <c r="L115" s="237"/>
      <c r="M115" s="237"/>
      <c r="N115" s="237"/>
      <c r="O115" s="237"/>
      <c r="P115" s="237"/>
      <c r="Q115" s="237"/>
      <c r="R115" s="280"/>
    </row>
    <row r="116" spans="1:18" s="91" customFormat="1" ht="15" customHeight="1" thickBot="1" x14ac:dyDescent="0.3">
      <c r="A116" s="212" t="s">
        <v>104</v>
      </c>
      <c r="B116" s="213"/>
      <c r="C116" s="81">
        <v>6</v>
      </c>
      <c r="D116" s="81">
        <v>8</v>
      </c>
      <c r="E116" s="81">
        <v>10</v>
      </c>
      <c r="F116" s="81">
        <v>12</v>
      </c>
      <c r="G116" s="81">
        <v>14</v>
      </c>
      <c r="H116" s="81">
        <v>16</v>
      </c>
      <c r="I116" s="82">
        <v>20</v>
      </c>
      <c r="J116" s="83">
        <f>AVERAGE(J117:J123)</f>
        <v>6.4022032308801871</v>
      </c>
      <c r="K116" s="164" t="s">
        <v>105</v>
      </c>
      <c r="L116" s="165"/>
      <c r="M116" s="214" t="str">
        <f>IF(P106&gt;-0.25,"SV непригодно для категории гонок 0,1,2 и3"," ")</f>
        <v xml:space="preserve"> </v>
      </c>
      <c r="N116" s="215"/>
      <c r="O116" s="215"/>
      <c r="P116" s="215"/>
      <c r="Q116" s="215"/>
      <c r="R116" s="216"/>
    </row>
    <row r="117" spans="1:18" s="91" customFormat="1" ht="15" customHeight="1" x14ac:dyDescent="0.25">
      <c r="A117" s="217" t="s">
        <v>106</v>
      </c>
      <c r="B117" s="218"/>
      <c r="C117" s="63">
        <f>SQRT(C116/I116)*I117</f>
        <v>3.3540601966376427</v>
      </c>
      <c r="D117" s="63">
        <f>SQRT(D116/I116)*I117</f>
        <v>3.8729351148139046</v>
      </c>
      <c r="E117" s="63">
        <f>SQRT(E116/I116)*I117</f>
        <v>4.3300730945849217</v>
      </c>
      <c r="F117" s="63">
        <f>SQRT(F116/I116)*I117</f>
        <v>4.7433574191007253</v>
      </c>
      <c r="G117" s="63">
        <f>SQRT(G116/I116)*I117</f>
        <v>5.1234115788434895</v>
      </c>
      <c r="H117" s="63">
        <f>SQRT(H116/I116)*I117</f>
        <v>5.4771573655608234</v>
      </c>
      <c r="I117" s="63">
        <f>(D115^(0.25)/((0.001*L96)^(1/6)))*SQRT(B110)*B112*B113</f>
        <v>6.123648096428834</v>
      </c>
      <c r="J117" s="84">
        <f t="shared" ref="J117:J123" si="12">AVERAGE(C117:I117)</f>
        <v>4.7178061237100488</v>
      </c>
      <c r="K117" s="166" t="s">
        <v>107</v>
      </c>
      <c r="L117" s="167"/>
      <c r="M117" s="287" t="s">
        <v>133</v>
      </c>
      <c r="N117" s="288"/>
      <c r="O117" s="288"/>
      <c r="P117" s="288"/>
      <c r="Q117" s="288"/>
      <c r="R117" s="289"/>
    </row>
    <row r="118" spans="1:18" s="91" customFormat="1" ht="15" customHeight="1" x14ac:dyDescent="0.25">
      <c r="A118" s="217" t="s">
        <v>108</v>
      </c>
      <c r="B118" s="218"/>
      <c r="C118" s="63">
        <f>SQRT(C116/I116)*SQRT(D114/(SQRT(0.69)*F111))*SQRT(B110)*B112*B113*B114</f>
        <v>3.9385105283534472</v>
      </c>
      <c r="D118" s="63">
        <f>SQRT(D116/I116)*SQRT(D114/(0.52*F111))*SQRT(B110)*B112*B113*B114</f>
        <v>5.7479367419471554</v>
      </c>
      <c r="E118" s="63">
        <f>SQRT(E116/I116)*SQRT(D114/(0.44*F111))*SQRT(B110)*B112*B113*B114</f>
        <v>6.9862210023352658</v>
      </c>
      <c r="F118" s="63">
        <f>SQRT(F116/I116)*SQRT(D114/(0.385*F111))*SQRT(B110)*B112*B113*B114</f>
        <v>8.1814243029762732</v>
      </c>
      <c r="G118" s="63">
        <f>SQRT(G116/I116)*SQRT(D114/(0.35*F111))*SQRT(B110)*B112*B113*B114</f>
        <v>9.268269506898676</v>
      </c>
      <c r="H118" s="63">
        <f>SQRT(H116/I116)*SQRT(D114/(0.323*F111))*SQRT(B110)*B112*B113*B114</f>
        <v>10.314006206507413</v>
      </c>
      <c r="I118" s="63">
        <f>SQRT(D114/(0.29*F111))*SQRT(B110)*B112*B113*B114</f>
        <v>12.169834077334048</v>
      </c>
      <c r="J118" s="84">
        <f t="shared" si="12"/>
        <v>8.0866003380503262</v>
      </c>
      <c r="K118" s="85" t="s">
        <v>109</v>
      </c>
      <c r="L118" s="86"/>
      <c r="M118" s="87">
        <v>42574</v>
      </c>
      <c r="N118" s="268"/>
      <c r="O118" s="269"/>
      <c r="P118" s="269"/>
      <c r="Q118" s="269"/>
      <c r="R118" s="270"/>
    </row>
    <row r="119" spans="1:18" s="91" customFormat="1" ht="15" customHeight="1" x14ac:dyDescent="0.25">
      <c r="A119" s="251" t="s">
        <v>110</v>
      </c>
      <c r="B119" s="252"/>
      <c r="C119" s="63">
        <f>0.5*(C117+C118)</f>
        <v>3.6462853624955449</v>
      </c>
      <c r="D119" s="63">
        <f t="shared" ref="D119:I119" si="13">0.5*(D117+D118)</f>
        <v>4.8104359283805298</v>
      </c>
      <c r="E119" s="63">
        <f t="shared" si="13"/>
        <v>5.6581470484600942</v>
      </c>
      <c r="F119" s="63">
        <f t="shared" si="13"/>
        <v>6.4623908610384992</v>
      </c>
      <c r="G119" s="63">
        <f t="shared" si="13"/>
        <v>7.1958405428710828</v>
      </c>
      <c r="H119" s="63">
        <f t="shared" si="13"/>
        <v>7.8955817860341178</v>
      </c>
      <c r="I119" s="63">
        <f t="shared" si="13"/>
        <v>9.1467410868814412</v>
      </c>
      <c r="J119" s="84">
        <f t="shared" si="12"/>
        <v>6.4022032308801871</v>
      </c>
      <c r="K119" s="166" t="s">
        <v>111</v>
      </c>
      <c r="L119" s="167"/>
      <c r="M119" s="87">
        <v>42855</v>
      </c>
      <c r="N119" s="271"/>
      <c r="O119" s="272"/>
      <c r="P119" s="272"/>
      <c r="Q119" s="272"/>
      <c r="R119" s="273"/>
    </row>
    <row r="120" spans="1:18" s="91" customFormat="1" ht="15" customHeight="1" x14ac:dyDescent="0.25">
      <c r="A120" s="251" t="s">
        <v>112</v>
      </c>
      <c r="B120" s="252"/>
      <c r="C120" s="63">
        <f>0.85*C117+0.15*C118</f>
        <v>3.4417277463950131</v>
      </c>
      <c r="D120" s="63">
        <f t="shared" ref="D120:I120" si="14">0.85*D117+0.15*D118</f>
        <v>4.1541853588838924</v>
      </c>
      <c r="E120" s="63">
        <f t="shared" si="14"/>
        <v>4.7284952807474729</v>
      </c>
      <c r="F120" s="63">
        <f t="shared" si="14"/>
        <v>5.259067451682057</v>
      </c>
      <c r="G120" s="63">
        <f t="shared" si="14"/>
        <v>5.7451402680517676</v>
      </c>
      <c r="H120" s="63">
        <f t="shared" si="14"/>
        <v>6.2026846917028111</v>
      </c>
      <c r="I120" s="63">
        <f t="shared" si="14"/>
        <v>7.0305759935646153</v>
      </c>
      <c r="J120" s="84">
        <f t="shared" si="12"/>
        <v>5.2231252558610901</v>
      </c>
      <c r="K120" s="224" t="s">
        <v>113</v>
      </c>
      <c r="L120" s="225"/>
      <c r="M120" s="184"/>
      <c r="N120" s="274"/>
      <c r="O120" s="274"/>
      <c r="P120" s="274"/>
      <c r="Q120" s="274"/>
      <c r="R120" s="185"/>
    </row>
    <row r="121" spans="1:18" s="91" customFormat="1" ht="15" customHeight="1" x14ac:dyDescent="0.25">
      <c r="A121" s="251" t="s">
        <v>114</v>
      </c>
      <c r="B121" s="252"/>
      <c r="C121" s="63">
        <f>0.75*C117+0.25*C118</f>
        <v>3.5001727795665936</v>
      </c>
      <c r="D121" s="63">
        <f t="shared" ref="D121:I121" si="15">0.75*D117+0.25*D118</f>
        <v>4.341685521597217</v>
      </c>
      <c r="E121" s="63">
        <f t="shared" si="15"/>
        <v>4.994110071522508</v>
      </c>
      <c r="F121" s="63">
        <f t="shared" si="15"/>
        <v>5.6028741400696127</v>
      </c>
      <c r="G121" s="63">
        <f t="shared" si="15"/>
        <v>6.1596260608572866</v>
      </c>
      <c r="H121" s="63">
        <f t="shared" si="15"/>
        <v>6.686369575797471</v>
      </c>
      <c r="I121" s="63">
        <f t="shared" si="15"/>
        <v>7.6351945916551376</v>
      </c>
      <c r="J121" s="84">
        <f t="shared" si="12"/>
        <v>5.5600046772951179</v>
      </c>
      <c r="K121" s="253"/>
      <c r="L121" s="254"/>
      <c r="M121" s="254"/>
      <c r="N121" s="254"/>
      <c r="O121" s="254"/>
      <c r="P121" s="254"/>
      <c r="Q121" s="254"/>
      <c r="R121" s="255"/>
    </row>
    <row r="122" spans="1:18" s="91" customFormat="1" ht="15" customHeight="1" x14ac:dyDescent="0.25">
      <c r="A122" s="259" t="s">
        <v>115</v>
      </c>
      <c r="B122" s="260"/>
      <c r="C122" s="63">
        <f>0.25*C117+0.75*C118</f>
        <v>3.7923979454244963</v>
      </c>
      <c r="D122" s="63">
        <f t="shared" ref="D122:I122" si="16">0.25*D117+0.75*D118</f>
        <v>5.2791863351638426</v>
      </c>
      <c r="E122" s="63">
        <f t="shared" si="16"/>
        <v>6.3221840253976795</v>
      </c>
      <c r="F122" s="63">
        <f t="shared" si="16"/>
        <v>7.3219075820073858</v>
      </c>
      <c r="G122" s="63">
        <f t="shared" si="16"/>
        <v>8.2320550248848789</v>
      </c>
      <c r="H122" s="63">
        <f t="shared" si="16"/>
        <v>9.1047939962707645</v>
      </c>
      <c r="I122" s="63">
        <f t="shared" si="16"/>
        <v>10.658287582107747</v>
      </c>
      <c r="J122" s="84">
        <f t="shared" si="12"/>
        <v>7.2444017844652562</v>
      </c>
      <c r="K122" s="256"/>
      <c r="L122" s="257"/>
      <c r="M122" s="257"/>
      <c r="N122" s="257"/>
      <c r="O122" s="257"/>
      <c r="P122" s="257"/>
      <c r="Q122" s="257"/>
      <c r="R122" s="258"/>
    </row>
    <row r="123" spans="1:18" s="91" customFormat="1" ht="15" customHeight="1" thickBot="1" x14ac:dyDescent="0.3">
      <c r="A123" s="261" t="s">
        <v>116</v>
      </c>
      <c r="B123" s="262"/>
      <c r="C123" s="88">
        <f>0.15*C117+0.85*C118</f>
        <v>3.8508429785960763</v>
      </c>
      <c r="D123" s="88">
        <f t="shared" ref="D123:I123" si="17">0.15*D117+0.85*D118</f>
        <v>5.4666864978771672</v>
      </c>
      <c r="E123" s="88">
        <f t="shared" si="17"/>
        <v>6.5877988161727137</v>
      </c>
      <c r="F123" s="88">
        <f t="shared" si="17"/>
        <v>7.6657142703949406</v>
      </c>
      <c r="G123" s="88">
        <f t="shared" si="17"/>
        <v>8.6465408176903971</v>
      </c>
      <c r="H123" s="88">
        <f t="shared" si="17"/>
        <v>9.5884788803654235</v>
      </c>
      <c r="I123" s="88">
        <f t="shared" si="17"/>
        <v>11.262906180198266</v>
      </c>
      <c r="J123" s="89">
        <f t="shared" si="12"/>
        <v>7.5812812058992831</v>
      </c>
      <c r="K123" s="263"/>
      <c r="L123" s="264"/>
      <c r="M123" s="264"/>
      <c r="N123" s="264"/>
      <c r="O123" s="264"/>
      <c r="P123" s="265"/>
      <c r="Q123" s="266" t="s">
        <v>0</v>
      </c>
      <c r="R123" s="267"/>
    </row>
    <row r="124" spans="1:18" s="91" customFormat="1" ht="15" customHeight="1" thickBot="1" x14ac:dyDescent="0.3">
      <c r="A124" s="90">
        <v>4</v>
      </c>
      <c r="B124" s="124" t="s">
        <v>117</v>
      </c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</row>
    <row r="125" spans="1:18" s="91" customFormat="1" ht="15" customHeight="1" thickBot="1" x14ac:dyDescent="0.3">
      <c r="A125" s="127" t="s">
        <v>0</v>
      </c>
      <c r="B125" s="128"/>
      <c r="C125" s="128"/>
      <c r="D125" s="128"/>
      <c r="E125" s="129"/>
      <c r="F125" s="130" t="s">
        <v>1</v>
      </c>
      <c r="G125" s="131"/>
      <c r="H125" s="132"/>
      <c r="I125" s="1" t="str">
        <f>CONCATENATE(B127,".01")</f>
        <v>1435.01</v>
      </c>
      <c r="J125" s="2" t="s">
        <v>2</v>
      </c>
      <c r="K125" s="133" t="s">
        <v>3</v>
      </c>
      <c r="L125" s="134"/>
      <c r="M125" s="135"/>
      <c r="N125" s="3" t="str">
        <f>I125</f>
        <v>1435.01</v>
      </c>
      <c r="O125" s="136" t="s">
        <v>4</v>
      </c>
      <c r="P125" s="137"/>
      <c r="Q125" s="138"/>
      <c r="R125" s="4" t="s">
        <v>5</v>
      </c>
    </row>
    <row r="126" spans="1:18" s="91" customFormat="1" ht="15" customHeight="1" x14ac:dyDescent="0.25">
      <c r="A126" s="139" t="s">
        <v>162</v>
      </c>
      <c r="B126" s="140"/>
      <c r="C126" s="141"/>
      <c r="D126" s="142" t="s">
        <v>6</v>
      </c>
      <c r="E126" s="143"/>
      <c r="F126" s="144" t="s">
        <v>7</v>
      </c>
      <c r="G126" s="145"/>
      <c r="H126" s="145"/>
      <c r="I126" s="145"/>
      <c r="J126" s="146"/>
      <c r="K126" s="147" t="s">
        <v>8</v>
      </c>
      <c r="L126" s="148"/>
      <c r="M126" s="148"/>
      <c r="N126" s="149"/>
      <c r="O126" s="150" t="s">
        <v>9</v>
      </c>
      <c r="P126" s="151"/>
      <c r="Q126" s="151"/>
      <c r="R126" s="152"/>
    </row>
    <row r="127" spans="1:18" s="91" customFormat="1" ht="15" customHeight="1" x14ac:dyDescent="0.25">
      <c r="A127" s="5" t="s">
        <v>10</v>
      </c>
      <c r="B127" s="6">
        <v>1435</v>
      </c>
      <c r="C127" s="7"/>
      <c r="D127" s="157">
        <f>INT(457468*H141^(-1.475))</f>
        <v>29</v>
      </c>
      <c r="E127" s="158"/>
      <c r="F127" s="8" t="s">
        <v>11</v>
      </c>
      <c r="G127" s="9"/>
      <c r="H127" s="159" t="s">
        <v>137</v>
      </c>
      <c r="I127" s="160"/>
      <c r="J127" s="161"/>
      <c r="K127" s="10" t="s">
        <v>12</v>
      </c>
      <c r="L127" s="11">
        <v>3944</v>
      </c>
      <c r="M127" s="162"/>
      <c r="N127" s="163"/>
      <c r="O127" s="12" t="s">
        <v>13</v>
      </c>
      <c r="P127" s="13"/>
      <c r="Q127" s="14" t="s">
        <v>14</v>
      </c>
      <c r="R127" s="15"/>
    </row>
    <row r="128" spans="1:18" s="91" customFormat="1" ht="15" customHeight="1" x14ac:dyDescent="0.25">
      <c r="A128" s="164"/>
      <c r="B128" s="165"/>
      <c r="C128" s="16"/>
      <c r="D128" s="157" t="s">
        <v>217</v>
      </c>
      <c r="E128" s="158"/>
      <c r="F128" s="166" t="s">
        <v>15</v>
      </c>
      <c r="G128" s="167"/>
      <c r="H128" s="159" t="s">
        <v>138</v>
      </c>
      <c r="I128" s="160"/>
      <c r="J128" s="161"/>
      <c r="K128" s="10" t="s">
        <v>16</v>
      </c>
      <c r="L128" s="17">
        <v>9.1199999999999992</v>
      </c>
      <c r="M128" s="18" t="s">
        <v>17</v>
      </c>
      <c r="N128" s="19">
        <v>3.08</v>
      </c>
      <c r="O128" s="20" t="s">
        <v>18</v>
      </c>
      <c r="P128" s="21"/>
      <c r="Q128" s="22" t="s">
        <v>19</v>
      </c>
      <c r="R128" s="23"/>
    </row>
    <row r="129" spans="1:18" s="91" customFormat="1" ht="15" customHeight="1" x14ac:dyDescent="0.25">
      <c r="A129" s="174" t="s">
        <v>20</v>
      </c>
      <c r="B129" s="175"/>
      <c r="C129" s="176"/>
      <c r="D129" s="125" t="s">
        <v>21</v>
      </c>
      <c r="E129" s="126"/>
      <c r="F129" s="166" t="s">
        <v>22</v>
      </c>
      <c r="G129" s="167"/>
      <c r="H129" s="159" t="s">
        <v>139</v>
      </c>
      <c r="I129" s="160"/>
      <c r="J129" s="161"/>
      <c r="K129" s="10" t="s">
        <v>23</v>
      </c>
      <c r="L129" s="17">
        <v>1.0900000000000001</v>
      </c>
      <c r="M129" s="18" t="s">
        <v>24</v>
      </c>
      <c r="N129" s="19">
        <v>0.27</v>
      </c>
      <c r="O129" s="20" t="s">
        <v>25</v>
      </c>
      <c r="P129" s="21"/>
      <c r="Q129" s="22" t="s">
        <v>26</v>
      </c>
      <c r="R129" s="23"/>
    </row>
    <row r="130" spans="1:18" s="91" customFormat="1" ht="15" customHeight="1" thickBot="1" x14ac:dyDescent="0.3">
      <c r="A130" s="174" t="s">
        <v>27</v>
      </c>
      <c r="B130" s="175"/>
      <c r="C130" s="176"/>
      <c r="D130" s="177" t="s">
        <v>28</v>
      </c>
      <c r="E130" s="149"/>
      <c r="F130" s="224" t="s">
        <v>29</v>
      </c>
      <c r="G130" s="225"/>
      <c r="H130" s="173">
        <v>2016</v>
      </c>
      <c r="I130" s="178"/>
      <c r="J130" s="226"/>
      <c r="K130" s="24" t="s">
        <v>30</v>
      </c>
      <c r="L130" s="17">
        <v>0.11</v>
      </c>
      <c r="M130" s="25" t="s">
        <v>31</v>
      </c>
      <c r="N130" s="19">
        <v>0.27</v>
      </c>
      <c r="O130" s="26" t="s">
        <v>32</v>
      </c>
      <c r="P130" s="27"/>
      <c r="Q130" s="28" t="s">
        <v>33</v>
      </c>
      <c r="R130" s="29"/>
    </row>
    <row r="131" spans="1:18" s="91" customFormat="1" ht="15" customHeight="1" x14ac:dyDescent="0.25">
      <c r="A131" s="174" t="s">
        <v>34</v>
      </c>
      <c r="B131" s="175"/>
      <c r="C131" s="176"/>
      <c r="D131" s="177" t="s">
        <v>35</v>
      </c>
      <c r="E131" s="149"/>
      <c r="F131" s="166" t="s">
        <v>36</v>
      </c>
      <c r="G131" s="167"/>
      <c r="H131" s="173" t="s">
        <v>135</v>
      </c>
      <c r="I131" s="178"/>
      <c r="J131" s="179"/>
      <c r="K131" s="180" t="s">
        <v>37</v>
      </c>
      <c r="L131" s="181"/>
      <c r="M131" s="181"/>
      <c r="N131" s="181"/>
      <c r="O131" s="181"/>
      <c r="P131" s="181"/>
      <c r="Q131" s="181"/>
      <c r="R131" s="182"/>
    </row>
    <row r="132" spans="1:18" s="91" customFormat="1" ht="15" customHeight="1" x14ac:dyDescent="0.25">
      <c r="A132" s="147" t="s">
        <v>35</v>
      </c>
      <c r="B132" s="148"/>
      <c r="C132" s="183"/>
      <c r="D132" s="184"/>
      <c r="E132" s="185"/>
      <c r="F132" s="166" t="s">
        <v>38</v>
      </c>
      <c r="G132" s="167"/>
      <c r="H132" s="186"/>
      <c r="I132" s="186"/>
      <c r="J132" s="30">
        <f>IF(H133="Подвесной мотор",0,IF(H132="Литой",0.005,0))</f>
        <v>0</v>
      </c>
      <c r="K132" s="31" t="s">
        <v>39</v>
      </c>
      <c r="L132" s="32"/>
      <c r="M132" s="33" t="s">
        <v>40</v>
      </c>
      <c r="N132" s="34"/>
      <c r="O132" s="18" t="s">
        <v>41</v>
      </c>
      <c r="P132" s="35" t="e">
        <f>L132*L136*N137*0.0175/N132</f>
        <v>#DIV/0!</v>
      </c>
      <c r="Q132" s="187"/>
      <c r="R132" s="188"/>
    </row>
    <row r="133" spans="1:18" s="91" customFormat="1" ht="15" customHeight="1" thickBot="1" x14ac:dyDescent="0.3">
      <c r="A133" s="168"/>
      <c r="B133" s="169"/>
      <c r="C133" s="170"/>
      <c r="D133" s="171"/>
      <c r="E133" s="172"/>
      <c r="F133" s="166" t="s">
        <v>42</v>
      </c>
      <c r="G133" s="167"/>
      <c r="H133" s="173" t="s">
        <v>123</v>
      </c>
      <c r="I133" s="173"/>
      <c r="J133" s="30">
        <f>IF(H133="Без двигателя",1,IF(H133="Подвесной мотор",0.995,IF(H133="Привод в кронштейне",0.99,IF(H133="Открытый вал",0.98,IF(H133="Закрытый вал",0.97,IF(H133="В вырезе",0.96,"Установка ? "))))))</f>
        <v>0.995</v>
      </c>
      <c r="K133" s="31" t="s">
        <v>43</v>
      </c>
      <c r="L133" s="32"/>
      <c r="M133" s="33" t="s">
        <v>44</v>
      </c>
      <c r="N133" s="34"/>
      <c r="O133" s="18" t="s">
        <v>45</v>
      </c>
      <c r="P133" s="35" t="e">
        <f>L133*L136*N137*0.0175/N133</f>
        <v>#DIV/0!</v>
      </c>
      <c r="Q133" s="189"/>
      <c r="R133" s="190"/>
    </row>
    <row r="134" spans="1:18" s="91" customFormat="1" ht="15" customHeight="1" x14ac:dyDescent="0.25">
      <c r="A134" s="36"/>
      <c r="B134" s="37"/>
      <c r="C134" s="37"/>
      <c r="D134" s="37"/>
      <c r="E134" s="37"/>
      <c r="F134" s="144" t="s">
        <v>46</v>
      </c>
      <c r="G134" s="153"/>
      <c r="H134" s="154"/>
      <c r="I134" s="155"/>
      <c r="J134" s="156"/>
      <c r="K134" s="38" t="s">
        <v>47</v>
      </c>
      <c r="L134" s="32"/>
      <c r="M134" s="33" t="s">
        <v>48</v>
      </c>
      <c r="N134" s="34"/>
      <c r="O134" s="18" t="s">
        <v>49</v>
      </c>
      <c r="P134" s="35" t="e">
        <f>L134*L136*N137*0.0175/N134</f>
        <v>#DIV/0!</v>
      </c>
      <c r="Q134" s="189"/>
      <c r="R134" s="190"/>
    </row>
    <row r="135" spans="1:18" s="91" customFormat="1" ht="15" customHeight="1" x14ac:dyDescent="0.25">
      <c r="A135" s="36"/>
      <c r="B135" s="37"/>
      <c r="C135" s="37"/>
      <c r="D135" s="37"/>
      <c r="E135" s="37"/>
      <c r="F135" s="39"/>
      <c r="G135" s="37"/>
      <c r="H135" s="37"/>
      <c r="I135" s="37"/>
      <c r="J135" s="37"/>
      <c r="K135" s="38" t="s">
        <v>50</v>
      </c>
      <c r="L135" s="40"/>
      <c r="M135" s="33" t="s">
        <v>51</v>
      </c>
      <c r="N135" s="34"/>
      <c r="O135" s="18" t="s">
        <v>52</v>
      </c>
      <c r="P135" s="35" t="e">
        <f>L135*L136*N137*0.0175/N135</f>
        <v>#DIV/0!</v>
      </c>
      <c r="Q135" s="189"/>
      <c r="R135" s="190"/>
    </row>
    <row r="136" spans="1:18" s="91" customFormat="1" ht="15" customHeight="1" x14ac:dyDescent="0.25">
      <c r="A136" s="197" t="s">
        <v>53</v>
      </c>
      <c r="B136" s="198"/>
      <c r="C136" s="41"/>
      <c r="D136" s="41"/>
      <c r="E136" s="41"/>
      <c r="F136" s="42"/>
      <c r="G136" s="41"/>
      <c r="H136" s="41"/>
      <c r="I136" s="41"/>
      <c r="J136" s="41"/>
      <c r="K136" s="31" t="s">
        <v>54</v>
      </c>
      <c r="L136" s="43"/>
      <c r="M136" s="33" t="s">
        <v>55</v>
      </c>
      <c r="N136" s="34"/>
      <c r="O136" s="18" t="s">
        <v>56</v>
      </c>
      <c r="P136" s="44">
        <v>52.78</v>
      </c>
      <c r="Q136" s="189"/>
      <c r="R136" s="190"/>
    </row>
    <row r="137" spans="1:18" s="91" customFormat="1" ht="15" customHeight="1" x14ac:dyDescent="0.25">
      <c r="A137" s="199"/>
      <c r="B137" s="200"/>
      <c r="C137" s="200"/>
      <c r="D137" s="200"/>
      <c r="E137" s="200"/>
      <c r="F137" s="200"/>
      <c r="G137" s="200"/>
      <c r="H137" s="200"/>
      <c r="I137" s="200"/>
      <c r="J137" s="201"/>
      <c r="K137" s="45" t="s">
        <v>57</v>
      </c>
      <c r="L137" s="34"/>
      <c r="M137" s="33" t="s">
        <v>58</v>
      </c>
      <c r="N137" s="46" t="e">
        <f>N136/(1+L137/L138)</f>
        <v>#DIV/0!</v>
      </c>
      <c r="O137" s="47" t="s">
        <v>59</v>
      </c>
      <c r="P137" s="48">
        <f>3.281*((0.03*B141*B142^3*1025.8-54*P136)/L127-0.0625*B141)+0.25</f>
        <v>-0.42248818534815535</v>
      </c>
      <c r="Q137" s="191"/>
      <c r="R137" s="192"/>
    </row>
    <row r="138" spans="1:18" s="91" customFormat="1" ht="15" customHeight="1" thickBot="1" x14ac:dyDescent="0.3">
      <c r="A138" s="202"/>
      <c r="B138" s="203"/>
      <c r="C138" s="203"/>
      <c r="D138" s="203"/>
      <c r="E138" s="203"/>
      <c r="F138" s="203"/>
      <c r="G138" s="203"/>
      <c r="H138" s="203"/>
      <c r="I138" s="203"/>
      <c r="J138" s="204"/>
      <c r="K138" s="49" t="s">
        <v>60</v>
      </c>
      <c r="L138" s="50"/>
      <c r="M138" s="205" t="s">
        <v>61</v>
      </c>
      <c r="N138" s="206"/>
      <c r="O138" s="206"/>
      <c r="P138" s="207"/>
      <c r="Q138" s="208">
        <v>42558</v>
      </c>
      <c r="R138" s="208"/>
    </row>
    <row r="139" spans="1:18" s="91" customFormat="1" ht="15" customHeight="1" x14ac:dyDescent="0.25">
      <c r="A139" s="209" t="s">
        <v>62</v>
      </c>
      <c r="B139" s="210"/>
      <c r="C139" s="210"/>
      <c r="D139" s="210"/>
      <c r="E139" s="210"/>
      <c r="F139" s="210"/>
      <c r="G139" s="210"/>
      <c r="H139" s="210"/>
      <c r="I139" s="210"/>
      <c r="J139" s="211"/>
      <c r="K139" s="180" t="s">
        <v>63</v>
      </c>
      <c r="L139" s="181"/>
      <c r="M139" s="181"/>
      <c r="N139" s="181"/>
      <c r="O139" s="181"/>
      <c r="P139" s="181"/>
      <c r="Q139" s="181"/>
      <c r="R139" s="182"/>
    </row>
    <row r="140" spans="1:18" s="91" customFormat="1" ht="15" customHeight="1" x14ac:dyDescent="0.25">
      <c r="A140" s="242" t="s">
        <v>64</v>
      </c>
      <c r="B140" s="243"/>
      <c r="C140" s="244" t="s">
        <v>65</v>
      </c>
      <c r="D140" s="245"/>
      <c r="E140" s="246" t="s">
        <v>66</v>
      </c>
      <c r="F140" s="247"/>
      <c r="G140" s="142" t="s">
        <v>67</v>
      </c>
      <c r="H140" s="250"/>
      <c r="I140" s="250"/>
      <c r="J140" s="143"/>
      <c r="K140" s="193" t="s">
        <v>68</v>
      </c>
      <c r="L140" s="194"/>
      <c r="M140" s="195" t="s">
        <v>69</v>
      </c>
      <c r="N140" s="196"/>
      <c r="O140" s="227" t="s">
        <v>70</v>
      </c>
      <c r="P140" s="194"/>
      <c r="Q140" s="195" t="s">
        <v>71</v>
      </c>
      <c r="R140" s="228"/>
    </row>
    <row r="141" spans="1:18" s="91" customFormat="1" ht="15" customHeight="1" x14ac:dyDescent="0.25">
      <c r="A141" s="10" t="s">
        <v>72</v>
      </c>
      <c r="B141" s="44">
        <f>L128-L129-L130</f>
        <v>7.919999999999999</v>
      </c>
      <c r="C141" s="51" t="s">
        <v>73</v>
      </c>
      <c r="D141" s="52">
        <f>0.125*L141*(L143+2*L144+3*L145+2*L142)</f>
        <v>16.665199999999999</v>
      </c>
      <c r="E141" s="248"/>
      <c r="F141" s="249"/>
      <c r="G141" s="53" t="s">
        <v>74</v>
      </c>
      <c r="H141" s="54">
        <f>3600/(0.5*( D150+F150))</f>
        <v>689.23071054337549</v>
      </c>
      <c r="I141" s="55" t="s">
        <v>75</v>
      </c>
      <c r="J141" s="56">
        <f>I148</f>
        <v>5.8687579216845958</v>
      </c>
      <c r="K141" s="10" t="s">
        <v>76</v>
      </c>
      <c r="L141" s="57">
        <v>9.76</v>
      </c>
      <c r="M141" s="18" t="s">
        <v>77</v>
      </c>
      <c r="N141" s="57">
        <v>11.25</v>
      </c>
      <c r="O141" s="18" t="s">
        <v>78</v>
      </c>
      <c r="P141" s="58">
        <v>11.3</v>
      </c>
      <c r="Q141" s="18" t="s">
        <v>79</v>
      </c>
      <c r="R141" s="59">
        <v>11.54</v>
      </c>
    </row>
    <row r="142" spans="1:18" s="91" customFormat="1" ht="15" customHeight="1" x14ac:dyDescent="0.25">
      <c r="A142" s="10" t="s">
        <v>80</v>
      </c>
      <c r="B142" s="44">
        <f>N128-N129-N130</f>
        <v>2.54</v>
      </c>
      <c r="C142" s="18" t="s">
        <v>81</v>
      </c>
      <c r="D142" s="52">
        <f>N141*N142*0.5</f>
        <v>31.499999999999996</v>
      </c>
      <c r="E142" s="60" t="s">
        <v>82</v>
      </c>
      <c r="F142" s="61">
        <f>0.85*B141*B142</f>
        <v>17.09928</v>
      </c>
      <c r="G142" s="62" t="s">
        <v>83</v>
      </c>
      <c r="H142" s="63">
        <f>3600/H141</f>
        <v>5.2232147304664256</v>
      </c>
      <c r="I142" s="64" t="s">
        <v>84</v>
      </c>
      <c r="J142" s="56">
        <f>I149</f>
        <v>11.039157560639492</v>
      </c>
      <c r="K142" s="65" t="s">
        <v>85</v>
      </c>
      <c r="L142" s="57">
        <v>2.85</v>
      </c>
      <c r="M142" s="18" t="s">
        <v>86</v>
      </c>
      <c r="N142" s="57">
        <v>5.6</v>
      </c>
      <c r="O142" s="18" t="s">
        <v>87</v>
      </c>
      <c r="P142" s="58">
        <v>6.5</v>
      </c>
      <c r="Q142" s="18" t="s">
        <v>88</v>
      </c>
      <c r="R142" s="59">
        <v>11.34</v>
      </c>
    </row>
    <row r="143" spans="1:18" s="91" customFormat="1" ht="15" customHeight="1" x14ac:dyDescent="0.25">
      <c r="A143" s="66" t="s">
        <v>89</v>
      </c>
      <c r="B143" s="67">
        <f>IF(H130&gt;2012,1,IF(H130&gt;2008,0.995,0.99))</f>
        <v>1</v>
      </c>
      <c r="C143" s="18" t="s">
        <v>90</v>
      </c>
      <c r="D143" s="52">
        <f>0.5*P143*P141+2*(P142-0.5*P143)*P141/3</f>
        <v>58.760000000000005</v>
      </c>
      <c r="E143" s="68"/>
      <c r="F143" s="69"/>
      <c r="G143" s="69"/>
      <c r="H143" s="69"/>
      <c r="I143" s="70"/>
      <c r="J143" s="71"/>
      <c r="K143" s="10" t="s">
        <v>91</v>
      </c>
      <c r="L143" s="72">
        <v>0.14000000000000001</v>
      </c>
      <c r="M143" s="227"/>
      <c r="N143" s="194"/>
      <c r="O143" s="18" t="s">
        <v>92</v>
      </c>
      <c r="P143" s="73">
        <f>0.8*P142</f>
        <v>5.2</v>
      </c>
      <c r="Q143" s="18" t="s">
        <v>93</v>
      </c>
      <c r="R143" s="59">
        <v>6.24</v>
      </c>
    </row>
    <row r="144" spans="1:18" s="91" customFormat="1" ht="15" customHeight="1" x14ac:dyDescent="0.25">
      <c r="A144" s="10" t="s">
        <v>94</v>
      </c>
      <c r="B144" s="35">
        <f>J133-J132</f>
        <v>0.995</v>
      </c>
      <c r="C144" s="18" t="s">
        <v>95</v>
      </c>
      <c r="D144" s="52">
        <f>(0.5*(R141+R142)*(R143+4*R144))/6</f>
        <v>60.403199999999998</v>
      </c>
      <c r="E144" s="74"/>
      <c r="F144" s="74"/>
      <c r="G144" s="74"/>
      <c r="H144" s="74"/>
      <c r="I144" s="74"/>
      <c r="J144" s="74"/>
      <c r="K144" s="10" t="s">
        <v>96</v>
      </c>
      <c r="L144" s="75">
        <v>1.0900000000000001</v>
      </c>
      <c r="M144" s="187"/>
      <c r="N144" s="229"/>
      <c r="O144" s="229"/>
      <c r="P144" s="230"/>
      <c r="Q144" s="18" t="s">
        <v>97</v>
      </c>
      <c r="R144" s="59">
        <v>6.36</v>
      </c>
    </row>
    <row r="145" spans="1:18" s="91" customFormat="1" ht="15" customHeight="1" x14ac:dyDescent="0.25">
      <c r="A145" s="10" t="s">
        <v>98</v>
      </c>
      <c r="B145" s="67">
        <f>IF(H131="шверт",1.005,1)</f>
        <v>1</v>
      </c>
      <c r="C145" s="16" t="s">
        <v>99</v>
      </c>
      <c r="D145" s="76">
        <f>D141+MAX(D143,D142,D144)</f>
        <v>77.068399999999997</v>
      </c>
      <c r="E145" s="77"/>
      <c r="F145" s="78"/>
      <c r="G145" s="78"/>
      <c r="H145" s="78"/>
      <c r="I145" s="78"/>
      <c r="J145" s="78"/>
      <c r="K145" s="10" t="s">
        <v>100</v>
      </c>
      <c r="L145" s="75">
        <v>1.88</v>
      </c>
      <c r="M145" s="191"/>
      <c r="N145" s="231"/>
      <c r="O145" s="231"/>
      <c r="P145" s="232"/>
      <c r="Q145" s="227"/>
      <c r="R145" s="233"/>
    </row>
    <row r="146" spans="1:18" s="91" customFormat="1" ht="15" customHeight="1" x14ac:dyDescent="0.25">
      <c r="A146" s="234"/>
      <c r="B146" s="235"/>
      <c r="C146" s="16" t="s">
        <v>101</v>
      </c>
      <c r="D146" s="79">
        <f>D141+D142</f>
        <v>48.165199999999999</v>
      </c>
      <c r="E146" s="236" t="s">
        <v>102</v>
      </c>
      <c r="F146" s="237"/>
      <c r="G146" s="237"/>
      <c r="H146" s="237"/>
      <c r="I146" s="238"/>
      <c r="J146" s="80" t="s">
        <v>103</v>
      </c>
      <c r="K146" s="239"/>
      <c r="L146" s="240"/>
      <c r="M146" s="240"/>
      <c r="N146" s="240"/>
      <c r="O146" s="240"/>
      <c r="P146" s="240"/>
      <c r="Q146" s="240"/>
      <c r="R146" s="241"/>
    </row>
    <row r="147" spans="1:18" s="91" customFormat="1" ht="15" customHeight="1" thickBot="1" x14ac:dyDescent="0.3">
      <c r="A147" s="212" t="s">
        <v>104</v>
      </c>
      <c r="B147" s="213"/>
      <c r="C147" s="81">
        <v>6</v>
      </c>
      <c r="D147" s="81">
        <v>8</v>
      </c>
      <c r="E147" s="81">
        <v>10</v>
      </c>
      <c r="F147" s="81">
        <v>12</v>
      </c>
      <c r="G147" s="81">
        <v>14</v>
      </c>
      <c r="H147" s="81">
        <v>16</v>
      </c>
      <c r="I147" s="82">
        <v>20</v>
      </c>
      <c r="J147" s="83">
        <f>AVERAGE(J148:J154)</f>
        <v>5.9283610086319145</v>
      </c>
      <c r="K147" s="164" t="s">
        <v>105</v>
      </c>
      <c r="L147" s="165"/>
      <c r="M147" s="214" t="str">
        <f>IF(P137&gt;-0.25,"SV непригодно для категории гонок 0,1,2 и3"," ")</f>
        <v xml:space="preserve"> </v>
      </c>
      <c r="N147" s="215"/>
      <c r="O147" s="215"/>
      <c r="P147" s="215"/>
      <c r="Q147" s="215"/>
      <c r="R147" s="216"/>
    </row>
    <row r="148" spans="1:18" s="91" customFormat="1" ht="15" customHeight="1" x14ac:dyDescent="0.25">
      <c r="A148" s="217" t="s">
        <v>106</v>
      </c>
      <c r="B148" s="218"/>
      <c r="C148" s="63">
        <f>SQRT(C147/I147)*I148</f>
        <v>3.2144510982437899</v>
      </c>
      <c r="D148" s="63">
        <f>SQRT(D147/I147)*I148</f>
        <v>3.711728413735881</v>
      </c>
      <c r="E148" s="63">
        <f>SQRT(E147/I147)*I148</f>
        <v>4.1498385235654469</v>
      </c>
      <c r="F148" s="63">
        <f>SQRT(F147/I147)*I148</f>
        <v>4.5459203387214586</v>
      </c>
      <c r="G148" s="63">
        <f>SQRT(G147/I147)*I148</f>
        <v>4.9101551584787</v>
      </c>
      <c r="H148" s="63">
        <f>SQRT(H147/I147)*I148</f>
        <v>5.2491766625508571</v>
      </c>
      <c r="I148" s="63">
        <f>(D146^(0.25)/((0.001*L127)^(1/6)))*SQRT(B141)*B143*B144</f>
        <v>5.8687579216845958</v>
      </c>
      <c r="J148" s="84">
        <f t="shared" ref="J148:J154" si="18">AVERAGE(C148:I148)</f>
        <v>4.5214325881401054</v>
      </c>
      <c r="K148" s="219" t="s">
        <v>107</v>
      </c>
      <c r="L148" s="220"/>
      <c r="M148" s="221" t="s">
        <v>163</v>
      </c>
      <c r="N148" s="222"/>
      <c r="O148" s="222"/>
      <c r="P148" s="222"/>
      <c r="Q148" s="222"/>
      <c r="R148" s="223"/>
    </row>
    <row r="149" spans="1:18" s="91" customFormat="1" ht="15" customHeight="1" x14ac:dyDescent="0.25">
      <c r="A149" s="217" t="s">
        <v>108</v>
      </c>
      <c r="B149" s="218"/>
      <c r="C149" s="63">
        <f>SQRT(C147/I147)*SQRT(D145/(SQRT(0.69)*F142))*SQRT(B141)*B143*B144*B145</f>
        <v>3.5725908833635902</v>
      </c>
      <c r="D149" s="63">
        <f>SQRT(D147/I147)*SQRT(D145/(0.52*F142))*SQRT(B141)*B143*B144*B145</f>
        <v>5.2139066925424737</v>
      </c>
      <c r="E149" s="63">
        <f>SQRT(E147/I147)*SQRT(D145/(0.44*F142))*SQRT(B141)*B143*B144*B145</f>
        <v>6.3371442788907979</v>
      </c>
      <c r="F149" s="63">
        <f>SQRT(F147/I147)*SQRT(D145/(0.385*F142))*SQRT(B141)*B143*B144*B145</f>
        <v>7.4213034768658916</v>
      </c>
      <c r="G149" s="63">
        <f>SQRT(G147/I147)*SQRT(D145/(0.35*F142))*SQRT(B141)*B143*B144*B145</f>
        <v>8.4071719261712463</v>
      </c>
      <c r="H149" s="63">
        <f>SQRT(H147/I147)*SQRT(D145/(0.323*F142))*SQRT(B141)*B143*B144*B145</f>
        <v>9.3557511853925721</v>
      </c>
      <c r="I149" s="63">
        <f>SQRT(D145/(0.29*F142))*SQRT(B141)*B143*B144*B145</f>
        <v>11.039157560639492</v>
      </c>
      <c r="J149" s="84">
        <f t="shared" si="18"/>
        <v>7.3352894291237236</v>
      </c>
      <c r="K149" s="85" t="s">
        <v>109</v>
      </c>
      <c r="L149" s="86"/>
      <c r="M149" s="87">
        <v>42558</v>
      </c>
      <c r="N149" s="268"/>
      <c r="O149" s="269"/>
      <c r="P149" s="269"/>
      <c r="Q149" s="269"/>
      <c r="R149" s="270"/>
    </row>
    <row r="150" spans="1:18" s="91" customFormat="1" ht="15" customHeight="1" x14ac:dyDescent="0.25">
      <c r="A150" s="251" t="s">
        <v>110</v>
      </c>
      <c r="B150" s="252"/>
      <c r="C150" s="63">
        <f>0.5*(C148+C149)</f>
        <v>3.3935209908036903</v>
      </c>
      <c r="D150" s="63">
        <f t="shared" ref="D150:I150" si="19">0.5*(D148+D149)</f>
        <v>4.4628175531391774</v>
      </c>
      <c r="E150" s="63">
        <f t="shared" si="19"/>
        <v>5.2434914012281224</v>
      </c>
      <c r="F150" s="63">
        <f t="shared" si="19"/>
        <v>5.9836119077936747</v>
      </c>
      <c r="G150" s="63">
        <f t="shared" si="19"/>
        <v>6.6586635423249732</v>
      </c>
      <c r="H150" s="63">
        <f t="shared" si="19"/>
        <v>7.3024639239717146</v>
      </c>
      <c r="I150" s="63">
        <f t="shared" si="19"/>
        <v>8.4539577411620428</v>
      </c>
      <c r="J150" s="84">
        <f t="shared" si="18"/>
        <v>5.9283610086319145</v>
      </c>
      <c r="K150" s="166" t="s">
        <v>111</v>
      </c>
      <c r="L150" s="167"/>
      <c r="M150" s="98" t="s">
        <v>164</v>
      </c>
      <c r="N150" s="271"/>
      <c r="O150" s="272"/>
      <c r="P150" s="272"/>
      <c r="Q150" s="272"/>
      <c r="R150" s="273"/>
    </row>
    <row r="151" spans="1:18" s="91" customFormat="1" ht="15" customHeight="1" x14ac:dyDescent="0.25">
      <c r="A151" s="251" t="s">
        <v>112</v>
      </c>
      <c r="B151" s="252"/>
      <c r="C151" s="63">
        <f>0.85*C148+0.15*C149</f>
        <v>3.2681720660117599</v>
      </c>
      <c r="D151" s="63">
        <f t="shared" ref="D151:I151" si="20">0.85*D148+0.15*D149</f>
        <v>3.9370551555568696</v>
      </c>
      <c r="E151" s="63">
        <f t="shared" si="20"/>
        <v>4.4779343868642494</v>
      </c>
      <c r="F151" s="63">
        <f t="shared" si="20"/>
        <v>4.9772278094431233</v>
      </c>
      <c r="G151" s="63">
        <f t="shared" si="20"/>
        <v>5.4347076736325821</v>
      </c>
      <c r="H151" s="63">
        <f t="shared" si="20"/>
        <v>5.8651628409771144</v>
      </c>
      <c r="I151" s="63">
        <f t="shared" si="20"/>
        <v>6.64431786752783</v>
      </c>
      <c r="J151" s="84">
        <f t="shared" si="18"/>
        <v>4.9435111142876469</v>
      </c>
      <c r="K151" s="224" t="s">
        <v>113</v>
      </c>
      <c r="L151" s="225"/>
      <c r="M151" s="184"/>
      <c r="N151" s="274"/>
      <c r="O151" s="274"/>
      <c r="P151" s="274"/>
      <c r="Q151" s="274"/>
      <c r="R151" s="185"/>
    </row>
    <row r="152" spans="1:18" s="91" customFormat="1" ht="15" customHeight="1" x14ac:dyDescent="0.25">
      <c r="A152" s="251" t="s">
        <v>114</v>
      </c>
      <c r="B152" s="252"/>
      <c r="C152" s="63">
        <f>0.75*C148+0.25*C149</f>
        <v>3.3039860445237399</v>
      </c>
      <c r="D152" s="63">
        <f t="shared" ref="D152:I152" si="21">0.75*D148+0.25*D149</f>
        <v>4.0872729834375292</v>
      </c>
      <c r="E152" s="63">
        <f t="shared" si="21"/>
        <v>4.6966649623967847</v>
      </c>
      <c r="F152" s="63">
        <f t="shared" si="21"/>
        <v>5.2647661232575667</v>
      </c>
      <c r="G152" s="63">
        <f t="shared" si="21"/>
        <v>5.7844093504018366</v>
      </c>
      <c r="H152" s="63">
        <f t="shared" si="21"/>
        <v>6.2758202932612859</v>
      </c>
      <c r="I152" s="63">
        <f t="shared" si="21"/>
        <v>7.1613578314233193</v>
      </c>
      <c r="J152" s="84">
        <f t="shared" si="18"/>
        <v>5.2248967983860082</v>
      </c>
      <c r="K152" s="253"/>
      <c r="L152" s="254"/>
      <c r="M152" s="254"/>
      <c r="N152" s="254"/>
      <c r="O152" s="254"/>
      <c r="P152" s="254"/>
      <c r="Q152" s="254"/>
      <c r="R152" s="255"/>
    </row>
    <row r="153" spans="1:18" s="91" customFormat="1" ht="15" customHeight="1" x14ac:dyDescent="0.25">
      <c r="A153" s="259" t="s">
        <v>115</v>
      </c>
      <c r="B153" s="260"/>
      <c r="C153" s="63">
        <f>0.25*C148+0.75*C149</f>
        <v>3.4830559370836403</v>
      </c>
      <c r="D153" s="63">
        <f t="shared" ref="D153:I153" si="22">0.25*D148+0.75*D149</f>
        <v>4.8383621228408256</v>
      </c>
      <c r="E153" s="63">
        <f t="shared" si="22"/>
        <v>5.7903178400594602</v>
      </c>
      <c r="F153" s="63">
        <f t="shared" si="22"/>
        <v>6.7024576923297836</v>
      </c>
      <c r="G153" s="63">
        <f t="shared" si="22"/>
        <v>7.5329177342481106</v>
      </c>
      <c r="H153" s="63">
        <f t="shared" si="22"/>
        <v>8.3291075546821443</v>
      </c>
      <c r="I153" s="63">
        <f t="shared" si="22"/>
        <v>9.7465576509007672</v>
      </c>
      <c r="J153" s="84">
        <f t="shared" si="18"/>
        <v>6.6318252188778191</v>
      </c>
      <c r="K153" s="256"/>
      <c r="L153" s="257"/>
      <c r="M153" s="257"/>
      <c r="N153" s="257"/>
      <c r="O153" s="257"/>
      <c r="P153" s="257"/>
      <c r="Q153" s="257"/>
      <c r="R153" s="258"/>
    </row>
    <row r="154" spans="1:18" s="91" customFormat="1" ht="15" customHeight="1" thickBot="1" x14ac:dyDescent="0.3">
      <c r="A154" s="261" t="s">
        <v>116</v>
      </c>
      <c r="B154" s="262"/>
      <c r="C154" s="88">
        <f>0.15*C148+0.85*C149</f>
        <v>3.5188699155956202</v>
      </c>
      <c r="D154" s="88">
        <f t="shared" ref="D154:I154" si="23">0.15*D148+0.85*D149</f>
        <v>4.9885799507214843</v>
      </c>
      <c r="E154" s="88">
        <f t="shared" si="23"/>
        <v>6.0090484155919945</v>
      </c>
      <c r="F154" s="88">
        <f t="shared" si="23"/>
        <v>6.9899960061442261</v>
      </c>
      <c r="G154" s="88">
        <f t="shared" si="23"/>
        <v>7.8826194110173642</v>
      </c>
      <c r="H154" s="88">
        <f t="shared" si="23"/>
        <v>8.739765006966314</v>
      </c>
      <c r="I154" s="88">
        <f t="shared" si="23"/>
        <v>10.263597614796257</v>
      </c>
      <c r="J154" s="89">
        <f t="shared" si="18"/>
        <v>6.9132109029761812</v>
      </c>
      <c r="K154" s="263"/>
      <c r="L154" s="264"/>
      <c r="M154" s="264"/>
      <c r="N154" s="264"/>
      <c r="O154" s="264"/>
      <c r="P154" s="265"/>
      <c r="Q154" s="266" t="s">
        <v>0</v>
      </c>
      <c r="R154" s="267"/>
    </row>
    <row r="155" spans="1:18" s="91" customFormat="1" ht="15" customHeight="1" thickBot="1" x14ac:dyDescent="0.3">
      <c r="A155" s="90">
        <v>5</v>
      </c>
      <c r="B155" s="124" t="s">
        <v>117</v>
      </c>
      <c r="C155" s="124"/>
      <c r="D155" s="124"/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</row>
    <row r="156" spans="1:18" s="91" customFormat="1" ht="15" customHeight="1" thickBot="1" x14ac:dyDescent="0.3">
      <c r="A156" s="127" t="s">
        <v>0</v>
      </c>
      <c r="B156" s="128"/>
      <c r="C156" s="128"/>
      <c r="D156" s="128"/>
      <c r="E156" s="129"/>
      <c r="F156" s="130" t="s">
        <v>1</v>
      </c>
      <c r="G156" s="131"/>
      <c r="H156" s="132"/>
      <c r="I156" s="1" t="str">
        <f>CONCATENATE(B158,".09")</f>
        <v>581.09</v>
      </c>
      <c r="J156" s="2" t="s">
        <v>2</v>
      </c>
      <c r="K156" s="133" t="s">
        <v>3</v>
      </c>
      <c r="L156" s="134"/>
      <c r="M156" s="135"/>
      <c r="N156" s="3" t="str">
        <f>I156</f>
        <v>581.09</v>
      </c>
      <c r="O156" s="136" t="s">
        <v>4</v>
      </c>
      <c r="P156" s="137"/>
      <c r="Q156" s="138"/>
      <c r="R156" s="4" t="s">
        <v>5</v>
      </c>
    </row>
    <row r="157" spans="1:18" s="91" customFormat="1" ht="15" customHeight="1" x14ac:dyDescent="0.25">
      <c r="A157" s="139" t="s">
        <v>136</v>
      </c>
      <c r="B157" s="140"/>
      <c r="C157" s="141"/>
      <c r="D157" s="142" t="s">
        <v>6</v>
      </c>
      <c r="E157" s="143"/>
      <c r="F157" s="144" t="s">
        <v>7</v>
      </c>
      <c r="G157" s="145"/>
      <c r="H157" s="145"/>
      <c r="I157" s="145"/>
      <c r="J157" s="146"/>
      <c r="K157" s="147" t="s">
        <v>8</v>
      </c>
      <c r="L157" s="148"/>
      <c r="M157" s="148"/>
      <c r="N157" s="149"/>
      <c r="O157" s="150" t="s">
        <v>9</v>
      </c>
      <c r="P157" s="151"/>
      <c r="Q157" s="151"/>
      <c r="R157" s="152"/>
    </row>
    <row r="158" spans="1:18" s="91" customFormat="1" ht="15" customHeight="1" x14ac:dyDescent="0.25">
      <c r="A158" s="5" t="s">
        <v>10</v>
      </c>
      <c r="B158" s="6">
        <v>581</v>
      </c>
      <c r="C158" s="7"/>
      <c r="D158" s="157">
        <f>INT(457468*H172^(-1.475))</f>
        <v>29</v>
      </c>
      <c r="E158" s="158"/>
      <c r="F158" s="8" t="s">
        <v>11</v>
      </c>
      <c r="G158" s="9"/>
      <c r="H158" s="159" t="s">
        <v>137</v>
      </c>
      <c r="I158" s="160"/>
      <c r="J158" s="161"/>
      <c r="K158" s="10" t="s">
        <v>12</v>
      </c>
      <c r="L158" s="11">
        <v>4200</v>
      </c>
      <c r="M158" s="162"/>
      <c r="N158" s="163"/>
      <c r="O158" s="12" t="s">
        <v>13</v>
      </c>
      <c r="P158" s="13"/>
      <c r="Q158" s="14" t="s">
        <v>14</v>
      </c>
      <c r="R158" s="15"/>
    </row>
    <row r="159" spans="1:18" s="91" customFormat="1" ht="15" customHeight="1" x14ac:dyDescent="0.25">
      <c r="A159" s="164"/>
      <c r="B159" s="165"/>
      <c r="C159" s="16"/>
      <c r="D159" s="157" t="s">
        <v>217</v>
      </c>
      <c r="E159" s="158"/>
      <c r="F159" s="166" t="s">
        <v>15</v>
      </c>
      <c r="G159" s="167"/>
      <c r="H159" s="159" t="s">
        <v>138</v>
      </c>
      <c r="I159" s="160"/>
      <c r="J159" s="161"/>
      <c r="K159" s="10" t="s">
        <v>16</v>
      </c>
      <c r="L159" s="17">
        <v>9.1199999999999992</v>
      </c>
      <c r="M159" s="18" t="s">
        <v>17</v>
      </c>
      <c r="N159" s="19">
        <v>3.08</v>
      </c>
      <c r="O159" s="20" t="s">
        <v>18</v>
      </c>
      <c r="P159" s="21"/>
      <c r="Q159" s="22" t="s">
        <v>19</v>
      </c>
      <c r="R159" s="23"/>
    </row>
    <row r="160" spans="1:18" s="91" customFormat="1" ht="15" customHeight="1" x14ac:dyDescent="0.25">
      <c r="A160" s="174" t="s">
        <v>20</v>
      </c>
      <c r="B160" s="175"/>
      <c r="C160" s="176"/>
      <c r="D160" s="125" t="s">
        <v>21</v>
      </c>
      <c r="E160" s="126"/>
      <c r="F160" s="166" t="s">
        <v>22</v>
      </c>
      <c r="G160" s="167"/>
      <c r="H160" s="159" t="s">
        <v>139</v>
      </c>
      <c r="I160" s="160"/>
      <c r="J160" s="161"/>
      <c r="K160" s="10" t="s">
        <v>23</v>
      </c>
      <c r="L160" s="17"/>
      <c r="M160" s="18" t="s">
        <v>24</v>
      </c>
      <c r="N160" s="19"/>
      <c r="O160" s="20" t="s">
        <v>25</v>
      </c>
      <c r="P160" s="21"/>
      <c r="Q160" s="22" t="s">
        <v>26</v>
      </c>
      <c r="R160" s="23"/>
    </row>
    <row r="161" spans="1:18" s="91" customFormat="1" ht="15" customHeight="1" thickBot="1" x14ac:dyDescent="0.3">
      <c r="A161" s="174" t="s">
        <v>27</v>
      </c>
      <c r="B161" s="175"/>
      <c r="C161" s="176"/>
      <c r="D161" s="177" t="s">
        <v>28</v>
      </c>
      <c r="E161" s="149"/>
      <c r="F161" s="224" t="s">
        <v>29</v>
      </c>
      <c r="G161" s="225"/>
      <c r="H161" s="173">
        <v>2016</v>
      </c>
      <c r="I161" s="178"/>
      <c r="J161" s="226"/>
      <c r="K161" s="24" t="s">
        <v>30</v>
      </c>
      <c r="L161" s="17"/>
      <c r="M161" s="25" t="s">
        <v>31</v>
      </c>
      <c r="N161" s="19"/>
      <c r="O161" s="26" t="s">
        <v>32</v>
      </c>
      <c r="P161" s="27"/>
      <c r="Q161" s="28" t="s">
        <v>33</v>
      </c>
      <c r="R161" s="29"/>
    </row>
    <row r="162" spans="1:18" s="91" customFormat="1" ht="15" customHeight="1" x14ac:dyDescent="0.25">
      <c r="A162" s="174" t="s">
        <v>34</v>
      </c>
      <c r="B162" s="175"/>
      <c r="C162" s="176"/>
      <c r="D162" s="177" t="s">
        <v>35</v>
      </c>
      <c r="E162" s="149"/>
      <c r="F162" s="166" t="s">
        <v>36</v>
      </c>
      <c r="G162" s="167"/>
      <c r="H162" s="173" t="s">
        <v>135</v>
      </c>
      <c r="I162" s="178"/>
      <c r="J162" s="179"/>
      <c r="K162" s="180" t="s">
        <v>37</v>
      </c>
      <c r="L162" s="181"/>
      <c r="M162" s="181"/>
      <c r="N162" s="181"/>
      <c r="O162" s="181"/>
      <c r="P162" s="181"/>
      <c r="Q162" s="181"/>
      <c r="R162" s="182"/>
    </row>
    <row r="163" spans="1:18" s="91" customFormat="1" ht="15" customHeight="1" x14ac:dyDescent="0.25">
      <c r="A163" s="147" t="s">
        <v>35</v>
      </c>
      <c r="B163" s="148"/>
      <c r="C163" s="183"/>
      <c r="D163" s="184"/>
      <c r="E163" s="185"/>
      <c r="F163" s="166" t="s">
        <v>38</v>
      </c>
      <c r="G163" s="167"/>
      <c r="H163" s="186" t="s">
        <v>129</v>
      </c>
      <c r="I163" s="186"/>
      <c r="J163" s="30">
        <f>IF(H164="Подвесной мотор",0,IF(H163="Литой",0.005,0))</f>
        <v>0</v>
      </c>
      <c r="K163" s="31" t="s">
        <v>39</v>
      </c>
      <c r="L163" s="32"/>
      <c r="M163" s="33" t="s">
        <v>40</v>
      </c>
      <c r="N163" s="34"/>
      <c r="O163" s="18" t="s">
        <v>41</v>
      </c>
      <c r="P163" s="35" t="e">
        <f>L163*L167*N168*0.0175/N163</f>
        <v>#DIV/0!</v>
      </c>
      <c r="Q163" s="187"/>
      <c r="R163" s="188"/>
    </row>
    <row r="164" spans="1:18" s="91" customFormat="1" ht="15" customHeight="1" thickBot="1" x14ac:dyDescent="0.3">
      <c r="A164" s="168"/>
      <c r="B164" s="169"/>
      <c r="C164" s="170"/>
      <c r="D164" s="171"/>
      <c r="E164" s="172"/>
      <c r="F164" s="166" t="s">
        <v>42</v>
      </c>
      <c r="G164" s="167"/>
      <c r="H164" s="173" t="s">
        <v>130</v>
      </c>
      <c r="I164" s="173"/>
      <c r="J164" s="30">
        <f>IF(H164="Без двигателя",1,IF(H164="Подвесной мотор",0.995,IF(H164="Привод в кронштейне",0.99,IF(H164="Открытый вал",0.98,IF(H164="Закрытый вал",0.97,IF(H164="В вырезе",0.96,"Установка ? "))))))</f>
        <v>0.99</v>
      </c>
      <c r="K164" s="31" t="s">
        <v>43</v>
      </c>
      <c r="L164" s="32"/>
      <c r="M164" s="33" t="s">
        <v>44</v>
      </c>
      <c r="N164" s="34"/>
      <c r="O164" s="18" t="s">
        <v>45</v>
      </c>
      <c r="P164" s="35" t="e">
        <f>L164*L167*N168*0.0175/N164</f>
        <v>#DIV/0!</v>
      </c>
      <c r="Q164" s="189"/>
      <c r="R164" s="190"/>
    </row>
    <row r="165" spans="1:18" s="91" customFormat="1" ht="15" customHeight="1" x14ac:dyDescent="0.25">
      <c r="A165" s="36"/>
      <c r="B165" s="37"/>
      <c r="C165" s="37"/>
      <c r="D165" s="37"/>
      <c r="E165" s="37"/>
      <c r="F165" s="144" t="s">
        <v>46</v>
      </c>
      <c r="G165" s="153"/>
      <c r="H165" s="154"/>
      <c r="I165" s="155"/>
      <c r="J165" s="156"/>
      <c r="K165" s="38" t="s">
        <v>47</v>
      </c>
      <c r="L165" s="32"/>
      <c r="M165" s="33" t="s">
        <v>48</v>
      </c>
      <c r="N165" s="34"/>
      <c r="O165" s="18" t="s">
        <v>49</v>
      </c>
      <c r="P165" s="35" t="e">
        <f>L165*L167*N168*0.0175/N165</f>
        <v>#DIV/0!</v>
      </c>
      <c r="Q165" s="189"/>
      <c r="R165" s="190"/>
    </row>
    <row r="166" spans="1:18" s="91" customFormat="1" ht="15" customHeight="1" x14ac:dyDescent="0.25">
      <c r="A166" s="36"/>
      <c r="B166" s="37"/>
      <c r="C166" s="37"/>
      <c r="D166" s="37"/>
      <c r="E166" s="37"/>
      <c r="F166" s="39"/>
      <c r="G166" s="37"/>
      <c r="H166" s="37"/>
      <c r="I166" s="37"/>
      <c r="J166" s="37"/>
      <c r="K166" s="38" t="s">
        <v>50</v>
      </c>
      <c r="L166" s="40"/>
      <c r="M166" s="33" t="s">
        <v>51</v>
      </c>
      <c r="N166" s="34"/>
      <c r="O166" s="18" t="s">
        <v>52</v>
      </c>
      <c r="P166" s="35" t="e">
        <f>L166*L167*N168*0.0175/N166</f>
        <v>#DIV/0!</v>
      </c>
      <c r="Q166" s="189"/>
      <c r="R166" s="190"/>
    </row>
    <row r="167" spans="1:18" s="91" customFormat="1" ht="15" customHeight="1" x14ac:dyDescent="0.25">
      <c r="A167" s="197" t="s">
        <v>53</v>
      </c>
      <c r="B167" s="198"/>
      <c r="C167" s="41"/>
      <c r="D167" s="41"/>
      <c r="E167" s="41"/>
      <c r="F167" s="42"/>
      <c r="G167" s="41"/>
      <c r="H167" s="41"/>
      <c r="I167" s="41"/>
      <c r="J167" s="41"/>
      <c r="K167" s="31" t="s">
        <v>54</v>
      </c>
      <c r="L167" s="43"/>
      <c r="M167" s="33" t="s">
        <v>55</v>
      </c>
      <c r="N167" s="34"/>
      <c r="O167" s="18" t="s">
        <v>56</v>
      </c>
      <c r="P167" s="44">
        <v>57.38</v>
      </c>
      <c r="Q167" s="189"/>
      <c r="R167" s="190"/>
    </row>
    <row r="168" spans="1:18" s="91" customFormat="1" ht="15" customHeight="1" x14ac:dyDescent="0.25">
      <c r="A168" s="199"/>
      <c r="B168" s="200"/>
      <c r="C168" s="200"/>
      <c r="D168" s="200"/>
      <c r="E168" s="200"/>
      <c r="F168" s="200"/>
      <c r="G168" s="200"/>
      <c r="H168" s="200"/>
      <c r="I168" s="200"/>
      <c r="J168" s="201"/>
      <c r="K168" s="45" t="s">
        <v>57</v>
      </c>
      <c r="L168" s="34"/>
      <c r="M168" s="33" t="s">
        <v>58</v>
      </c>
      <c r="N168" s="46" t="e">
        <f>N167/(1+L168/L169)</f>
        <v>#DIV/0!</v>
      </c>
      <c r="O168" s="47" t="s">
        <v>59</v>
      </c>
      <c r="P168" s="48">
        <f>3.281*((0.03*B172*B173^3*1025.8-54*P167)/L158-0.0625*B172)+0.25</f>
        <v>-0.14924900383259199</v>
      </c>
      <c r="Q168" s="191"/>
      <c r="R168" s="192"/>
    </row>
    <row r="169" spans="1:18" s="91" customFormat="1" ht="15" customHeight="1" thickBot="1" x14ac:dyDescent="0.3">
      <c r="A169" s="202"/>
      <c r="B169" s="203"/>
      <c r="C169" s="203"/>
      <c r="D169" s="203"/>
      <c r="E169" s="203"/>
      <c r="F169" s="203"/>
      <c r="G169" s="203"/>
      <c r="H169" s="203"/>
      <c r="I169" s="203"/>
      <c r="J169" s="204"/>
      <c r="K169" s="49" t="s">
        <v>60</v>
      </c>
      <c r="L169" s="50"/>
      <c r="M169" s="205" t="s">
        <v>61</v>
      </c>
      <c r="N169" s="206"/>
      <c r="O169" s="206"/>
      <c r="P169" s="207"/>
      <c r="Q169" s="208">
        <v>38878</v>
      </c>
      <c r="R169" s="208"/>
    </row>
    <row r="170" spans="1:18" s="91" customFormat="1" ht="15" customHeight="1" x14ac:dyDescent="0.25">
      <c r="A170" s="209" t="s">
        <v>62</v>
      </c>
      <c r="B170" s="210"/>
      <c r="C170" s="210"/>
      <c r="D170" s="210"/>
      <c r="E170" s="210"/>
      <c r="F170" s="210"/>
      <c r="G170" s="210"/>
      <c r="H170" s="210"/>
      <c r="I170" s="210"/>
      <c r="J170" s="211"/>
      <c r="K170" s="180" t="s">
        <v>63</v>
      </c>
      <c r="L170" s="181"/>
      <c r="M170" s="181"/>
      <c r="N170" s="181"/>
      <c r="O170" s="181"/>
      <c r="P170" s="181"/>
      <c r="Q170" s="181"/>
      <c r="R170" s="182"/>
    </row>
    <row r="171" spans="1:18" s="91" customFormat="1" ht="15" customHeight="1" x14ac:dyDescent="0.25">
      <c r="A171" s="242" t="s">
        <v>64</v>
      </c>
      <c r="B171" s="243"/>
      <c r="C171" s="244" t="s">
        <v>65</v>
      </c>
      <c r="D171" s="245"/>
      <c r="E171" s="246" t="s">
        <v>66</v>
      </c>
      <c r="F171" s="247"/>
      <c r="G171" s="142" t="s">
        <v>67</v>
      </c>
      <c r="H171" s="250"/>
      <c r="I171" s="250"/>
      <c r="J171" s="143"/>
      <c r="K171" s="193" t="s">
        <v>68</v>
      </c>
      <c r="L171" s="194"/>
      <c r="M171" s="195" t="s">
        <v>69</v>
      </c>
      <c r="N171" s="196"/>
      <c r="O171" s="227" t="s">
        <v>70</v>
      </c>
      <c r="P171" s="194"/>
      <c r="Q171" s="195" t="s">
        <v>71</v>
      </c>
      <c r="R171" s="228"/>
    </row>
    <row r="172" spans="1:18" s="91" customFormat="1" ht="15" customHeight="1" x14ac:dyDescent="0.25">
      <c r="A172" s="10" t="s">
        <v>72</v>
      </c>
      <c r="B172" s="44">
        <v>8.17</v>
      </c>
      <c r="C172" s="51" t="s">
        <v>73</v>
      </c>
      <c r="D172" s="52">
        <f>0.125*L172*(L174+2*L175+3*L176+2*L173)</f>
        <v>17.628187500000003</v>
      </c>
      <c r="E172" s="248"/>
      <c r="F172" s="249"/>
      <c r="G172" s="53" t="s">
        <v>74</v>
      </c>
      <c r="H172" s="54">
        <f>3600/(0.5*( D181+F181))</f>
        <v>692.21811748276241</v>
      </c>
      <c r="I172" s="55" t="s">
        <v>75</v>
      </c>
      <c r="J172" s="56">
        <f>I179</f>
        <v>5.8653369472604995</v>
      </c>
      <c r="K172" s="10" t="s">
        <v>76</v>
      </c>
      <c r="L172" s="57">
        <v>9.9</v>
      </c>
      <c r="M172" s="18" t="s">
        <v>77</v>
      </c>
      <c r="N172" s="57">
        <v>11.33</v>
      </c>
      <c r="O172" s="18" t="s">
        <v>78</v>
      </c>
      <c r="P172" s="58">
        <v>11.46</v>
      </c>
      <c r="Q172" s="18" t="s">
        <v>79</v>
      </c>
      <c r="R172" s="59">
        <v>11.85</v>
      </c>
    </row>
    <row r="173" spans="1:18" s="91" customFormat="1" ht="15" customHeight="1" x14ac:dyDescent="0.25">
      <c r="A173" s="10" t="s">
        <v>80</v>
      </c>
      <c r="B173" s="44">
        <v>2.66</v>
      </c>
      <c r="C173" s="18" t="s">
        <v>81</v>
      </c>
      <c r="D173" s="52">
        <f>N172*N173*0.5</f>
        <v>30.421050000000001</v>
      </c>
      <c r="E173" s="60" t="s">
        <v>82</v>
      </c>
      <c r="F173" s="61">
        <f>0.85*B172*B173</f>
        <v>18.472370000000002</v>
      </c>
      <c r="G173" s="62" t="s">
        <v>83</v>
      </c>
      <c r="H173" s="63">
        <f>3600/H172</f>
        <v>5.2006728935257129</v>
      </c>
      <c r="I173" s="64" t="s">
        <v>84</v>
      </c>
      <c r="J173" s="56">
        <f>I180</f>
        <v>10.964585418498439</v>
      </c>
      <c r="K173" s="65" t="s">
        <v>85</v>
      </c>
      <c r="L173" s="57">
        <v>2.93</v>
      </c>
      <c r="M173" s="18" t="s">
        <v>86</v>
      </c>
      <c r="N173" s="57">
        <v>5.37</v>
      </c>
      <c r="O173" s="18" t="s">
        <v>87</v>
      </c>
      <c r="P173" s="58">
        <v>6.6</v>
      </c>
      <c r="Q173" s="18" t="s">
        <v>88</v>
      </c>
      <c r="R173" s="59">
        <v>9.75</v>
      </c>
    </row>
    <row r="174" spans="1:18" s="91" customFormat="1" ht="15" customHeight="1" x14ac:dyDescent="0.25">
      <c r="A174" s="66" t="s">
        <v>89</v>
      </c>
      <c r="B174" s="67">
        <f>IF(H161&gt;2012,1,IF(H161&gt;2008,0.995,0.99))</f>
        <v>1</v>
      </c>
      <c r="C174" s="18" t="s">
        <v>90</v>
      </c>
      <c r="D174" s="52">
        <f>0.5*P174*P172+2*(P173-0.5*P174)*P172/3</f>
        <v>62.80080000000001</v>
      </c>
      <c r="E174" s="68"/>
      <c r="F174" s="69"/>
      <c r="G174" s="69"/>
      <c r="H174" s="69"/>
      <c r="I174" s="70"/>
      <c r="J174" s="71"/>
      <c r="K174" s="10" t="s">
        <v>91</v>
      </c>
      <c r="L174" s="72">
        <v>0.14499999999999999</v>
      </c>
      <c r="M174" s="227"/>
      <c r="N174" s="194"/>
      <c r="O174" s="18" t="s">
        <v>92</v>
      </c>
      <c r="P174" s="73">
        <v>6.48</v>
      </c>
      <c r="Q174" s="18" t="s">
        <v>93</v>
      </c>
      <c r="R174" s="59">
        <v>4.91</v>
      </c>
    </row>
    <row r="175" spans="1:18" s="91" customFormat="1" ht="15" customHeight="1" x14ac:dyDescent="0.25">
      <c r="A175" s="10" t="s">
        <v>94</v>
      </c>
      <c r="B175" s="35">
        <f>J164-J163</f>
        <v>0.99</v>
      </c>
      <c r="C175" s="18" t="s">
        <v>95</v>
      </c>
      <c r="D175" s="52">
        <f>(0.5*(R172+R173)*(R174+4*R175))/6</f>
        <v>56.214000000000006</v>
      </c>
      <c r="E175" s="74"/>
      <c r="F175" s="74"/>
      <c r="G175" s="74"/>
      <c r="H175" s="74"/>
      <c r="I175" s="74"/>
      <c r="J175" s="74"/>
      <c r="K175" s="10" t="s">
        <v>96</v>
      </c>
      <c r="L175" s="75">
        <v>1.1499999999999999</v>
      </c>
      <c r="M175" s="187"/>
      <c r="N175" s="229"/>
      <c r="O175" s="229"/>
      <c r="P175" s="230"/>
      <c r="Q175" s="18" t="s">
        <v>97</v>
      </c>
      <c r="R175" s="59">
        <v>6.58</v>
      </c>
    </row>
    <row r="176" spans="1:18" s="91" customFormat="1" ht="15" customHeight="1" x14ac:dyDescent="0.25">
      <c r="A176" s="10" t="s">
        <v>98</v>
      </c>
      <c r="B176" s="67">
        <f>IF(H162="шверт",1.005,1)</f>
        <v>1</v>
      </c>
      <c r="C176" s="16" t="s">
        <v>99</v>
      </c>
      <c r="D176" s="76">
        <f>D172+MAX(D174,D173,D175)</f>
        <v>80.428987500000005</v>
      </c>
      <c r="E176" s="77"/>
      <c r="F176" s="78"/>
      <c r="G176" s="78"/>
      <c r="H176" s="78"/>
      <c r="I176" s="78"/>
      <c r="J176" s="78"/>
      <c r="K176" s="10" t="s">
        <v>100</v>
      </c>
      <c r="L176" s="75">
        <v>1.98</v>
      </c>
      <c r="M176" s="191"/>
      <c r="N176" s="231"/>
      <c r="O176" s="231"/>
      <c r="P176" s="232"/>
      <c r="Q176" s="227"/>
      <c r="R176" s="233"/>
    </row>
    <row r="177" spans="1:18" s="91" customFormat="1" ht="15" customHeight="1" x14ac:dyDescent="0.25">
      <c r="A177" s="234"/>
      <c r="B177" s="235"/>
      <c r="C177" s="16" t="s">
        <v>101</v>
      </c>
      <c r="D177" s="79">
        <f>D172+D173</f>
        <v>48.049237500000004</v>
      </c>
      <c r="E177" s="236" t="s">
        <v>102</v>
      </c>
      <c r="F177" s="237"/>
      <c r="G177" s="237"/>
      <c r="H177" s="237"/>
      <c r="I177" s="238"/>
      <c r="J177" s="80" t="s">
        <v>103</v>
      </c>
      <c r="K177" s="239"/>
      <c r="L177" s="240"/>
      <c r="M177" s="240"/>
      <c r="N177" s="240"/>
      <c r="O177" s="240"/>
      <c r="P177" s="240"/>
      <c r="Q177" s="240"/>
      <c r="R177" s="241"/>
    </row>
    <row r="178" spans="1:18" s="91" customFormat="1" ht="15" customHeight="1" thickBot="1" x14ac:dyDescent="0.3">
      <c r="A178" s="212" t="s">
        <v>104</v>
      </c>
      <c r="B178" s="213"/>
      <c r="C178" s="81">
        <v>6</v>
      </c>
      <c r="D178" s="81">
        <v>8</v>
      </c>
      <c r="E178" s="81">
        <v>10</v>
      </c>
      <c r="F178" s="81">
        <v>12</v>
      </c>
      <c r="G178" s="81">
        <v>14</v>
      </c>
      <c r="H178" s="81">
        <v>16</v>
      </c>
      <c r="I178" s="82">
        <v>20</v>
      </c>
      <c r="J178" s="83">
        <f>AVERAGE(J179:J185)</f>
        <v>5.9022673932735232</v>
      </c>
      <c r="K178" s="164" t="s">
        <v>105</v>
      </c>
      <c r="L178" s="165"/>
      <c r="M178" s="214" t="str">
        <f>IF(P168&gt;-0.25,"SV непригодно для категории гонок 0,1,2 и3"," ")</f>
        <v>SV непригодно для категории гонок 0,1,2 и3</v>
      </c>
      <c r="N178" s="215"/>
      <c r="O178" s="215"/>
      <c r="P178" s="215"/>
      <c r="Q178" s="215"/>
      <c r="R178" s="216"/>
    </row>
    <row r="179" spans="1:18" s="91" customFormat="1" ht="15" customHeight="1" x14ac:dyDescent="0.25">
      <c r="A179" s="217" t="s">
        <v>106</v>
      </c>
      <c r="B179" s="218"/>
      <c r="C179" s="63">
        <f>SQRT(C178/I178)*I179</f>
        <v>3.2125773533830642</v>
      </c>
      <c r="D179" s="63">
        <f>SQRT(D178/I178)*I179</f>
        <v>3.7095647995364156</v>
      </c>
      <c r="E179" s="63">
        <f>SQRT(E178/I178)*I179</f>
        <v>4.1474195293519029</v>
      </c>
      <c r="F179" s="63">
        <f>SQRT(F178/I178)*I179</f>
        <v>4.5432704633269934</v>
      </c>
      <c r="G179" s="63">
        <f>SQRT(G178/I178)*I179</f>
        <v>4.9072929659262634</v>
      </c>
      <c r="H179" s="63">
        <f>SQRT(H178/I178)*I179</f>
        <v>5.2461168500062305</v>
      </c>
      <c r="I179" s="63">
        <f>(D177^(0.25)/((0.001*L158)^(1/6)))*SQRT(B172)*B174*B175</f>
        <v>5.8653369472604995</v>
      </c>
      <c r="J179" s="84">
        <f t="shared" ref="J179:J185" si="24">AVERAGE(C179:I179)</f>
        <v>4.5187969869701954</v>
      </c>
      <c r="K179" s="219" t="s">
        <v>107</v>
      </c>
      <c r="L179" s="220"/>
      <c r="M179" s="221" t="s">
        <v>140</v>
      </c>
      <c r="N179" s="222"/>
      <c r="O179" s="222"/>
      <c r="P179" s="222"/>
      <c r="Q179" s="222"/>
      <c r="R179" s="223"/>
    </row>
    <row r="180" spans="1:18" s="91" customFormat="1" ht="15" customHeight="1" x14ac:dyDescent="0.25">
      <c r="A180" s="217" t="s">
        <v>108</v>
      </c>
      <c r="B180" s="218"/>
      <c r="C180" s="63">
        <f>SQRT(C178/I178)*SQRT(D176/(SQRT(0.69)*F173))*SQRT(B172)*B174*B175*B176</f>
        <v>3.5484571798900642</v>
      </c>
      <c r="D180" s="63">
        <f>SQRT(D178/I178)*SQRT(D176/(0.52*F173))*SQRT(B172)*B174*B175*B176</f>
        <v>5.178685509327118</v>
      </c>
      <c r="E180" s="63">
        <f>SQRT(E178/I178)*SQRT(D176/(0.44*F173))*SQRT(B172)*B174*B175*B176</f>
        <v>6.2943353578895449</v>
      </c>
      <c r="F180" s="63">
        <f>SQRT(F178/I178)*SQRT(D176/(0.385*F173))*SQRT(B172)*B174*B175*B176</f>
        <v>7.3711708019123252</v>
      </c>
      <c r="G180" s="63">
        <f>SQRT(G178/I178)*SQRT(D176/(0.35*F173))*SQRT(B172)*B174*B175*B176</f>
        <v>8.3503794747147975</v>
      </c>
      <c r="H180" s="63">
        <f>SQRT(H178/I178)*SQRT(D176/(0.323*F173))*SQRT(B172)*B174*B175*B176</f>
        <v>9.2925508548056595</v>
      </c>
      <c r="I180" s="63">
        <f>SQRT(D176/(0.29*F173))*SQRT(B172)*B174*B175*B176</f>
        <v>10.964585418498439</v>
      </c>
      <c r="J180" s="84">
        <f t="shared" si="24"/>
        <v>7.2857377995768493</v>
      </c>
      <c r="K180" s="85" t="s">
        <v>109</v>
      </c>
      <c r="L180" s="86"/>
      <c r="M180" s="87">
        <v>38879</v>
      </c>
      <c r="N180" s="268"/>
      <c r="O180" s="269"/>
      <c r="P180" s="269"/>
      <c r="Q180" s="269"/>
      <c r="R180" s="270"/>
    </row>
    <row r="181" spans="1:18" s="91" customFormat="1" ht="15" customHeight="1" x14ac:dyDescent="0.25">
      <c r="A181" s="251" t="s">
        <v>110</v>
      </c>
      <c r="B181" s="252"/>
      <c r="C181" s="63">
        <f>0.5*(C179+C180)</f>
        <v>3.3805172666365642</v>
      </c>
      <c r="D181" s="63">
        <f t="shared" ref="D181:I181" si="25">0.5*(D179+D180)</f>
        <v>4.4441251544317666</v>
      </c>
      <c r="E181" s="63">
        <f t="shared" si="25"/>
        <v>5.2208774436207239</v>
      </c>
      <c r="F181" s="63">
        <f t="shared" si="25"/>
        <v>5.9572206326196593</v>
      </c>
      <c r="G181" s="63">
        <f t="shared" si="25"/>
        <v>6.6288362203205304</v>
      </c>
      <c r="H181" s="63">
        <f t="shared" si="25"/>
        <v>7.2693338524059445</v>
      </c>
      <c r="I181" s="63">
        <f t="shared" si="25"/>
        <v>8.4149611828794697</v>
      </c>
      <c r="J181" s="84">
        <f t="shared" si="24"/>
        <v>5.9022673932735232</v>
      </c>
      <c r="K181" s="166" t="s">
        <v>111</v>
      </c>
      <c r="L181" s="167"/>
      <c r="M181" s="87">
        <v>42855</v>
      </c>
      <c r="N181" s="271"/>
      <c r="O181" s="272"/>
      <c r="P181" s="272"/>
      <c r="Q181" s="272"/>
      <c r="R181" s="273"/>
    </row>
    <row r="182" spans="1:18" s="91" customFormat="1" ht="15" customHeight="1" x14ac:dyDescent="0.25">
      <c r="A182" s="251" t="s">
        <v>112</v>
      </c>
      <c r="B182" s="252"/>
      <c r="C182" s="63">
        <f>0.85*C179+0.15*C180</f>
        <v>3.262959327359114</v>
      </c>
      <c r="D182" s="63">
        <f t="shared" ref="D182:I182" si="26">0.85*D179+0.15*D180</f>
        <v>3.9299329060050212</v>
      </c>
      <c r="E182" s="63">
        <f t="shared" si="26"/>
        <v>4.4694569036325493</v>
      </c>
      <c r="F182" s="63">
        <f t="shared" si="26"/>
        <v>4.9674555141147927</v>
      </c>
      <c r="G182" s="63">
        <f t="shared" si="26"/>
        <v>5.4237559422445436</v>
      </c>
      <c r="H182" s="63">
        <f t="shared" si="26"/>
        <v>5.8530819507261453</v>
      </c>
      <c r="I182" s="63">
        <f t="shared" si="26"/>
        <v>6.6302242179461901</v>
      </c>
      <c r="J182" s="84">
        <f t="shared" si="24"/>
        <v>4.9338381088611944</v>
      </c>
      <c r="K182" s="224" t="s">
        <v>113</v>
      </c>
      <c r="L182" s="225"/>
      <c r="M182" s="184"/>
      <c r="N182" s="274"/>
      <c r="O182" s="274"/>
      <c r="P182" s="274"/>
      <c r="Q182" s="274"/>
      <c r="R182" s="185"/>
    </row>
    <row r="183" spans="1:18" s="91" customFormat="1" ht="15" customHeight="1" x14ac:dyDescent="0.25">
      <c r="A183" s="251" t="s">
        <v>114</v>
      </c>
      <c r="B183" s="252"/>
      <c r="C183" s="63">
        <f>0.75*C179+0.25*C180</f>
        <v>3.2965473100098142</v>
      </c>
      <c r="D183" s="63">
        <f t="shared" ref="D183:I183" si="27">0.75*D179+0.25*D180</f>
        <v>4.0768449769840913</v>
      </c>
      <c r="E183" s="63">
        <f t="shared" si="27"/>
        <v>4.684148486486313</v>
      </c>
      <c r="F183" s="63">
        <f t="shared" si="27"/>
        <v>5.2502455479733259</v>
      </c>
      <c r="G183" s="63">
        <f t="shared" si="27"/>
        <v>5.7680645931233965</v>
      </c>
      <c r="H183" s="63">
        <f t="shared" si="27"/>
        <v>6.2577253512060871</v>
      </c>
      <c r="I183" s="63">
        <f t="shared" si="27"/>
        <v>7.1401490650699841</v>
      </c>
      <c r="J183" s="84">
        <f t="shared" si="24"/>
        <v>5.2105321901218593</v>
      </c>
      <c r="K183" s="253"/>
      <c r="L183" s="254"/>
      <c r="M183" s="254"/>
      <c r="N183" s="254"/>
      <c r="O183" s="254"/>
      <c r="P183" s="254"/>
      <c r="Q183" s="254"/>
      <c r="R183" s="255"/>
    </row>
    <row r="184" spans="1:18" s="91" customFormat="1" ht="15" customHeight="1" x14ac:dyDescent="0.25">
      <c r="A184" s="259" t="s">
        <v>115</v>
      </c>
      <c r="B184" s="260"/>
      <c r="C184" s="63">
        <f>0.25*C179+0.75*C180</f>
        <v>3.4644872232633142</v>
      </c>
      <c r="D184" s="63">
        <f t="shared" ref="D184:I184" si="28">0.25*D179+0.75*D180</f>
        <v>4.8114053318794427</v>
      </c>
      <c r="E184" s="63">
        <f t="shared" si="28"/>
        <v>5.7576064007551349</v>
      </c>
      <c r="F184" s="63">
        <f t="shared" si="28"/>
        <v>6.6641957172659927</v>
      </c>
      <c r="G184" s="63">
        <f t="shared" si="28"/>
        <v>7.4896078475176635</v>
      </c>
      <c r="H184" s="63">
        <f t="shared" si="28"/>
        <v>8.280942353605802</v>
      </c>
      <c r="I184" s="63">
        <f t="shared" si="28"/>
        <v>9.6897733006889553</v>
      </c>
      <c r="J184" s="84">
        <f t="shared" si="24"/>
        <v>6.5940025964251863</v>
      </c>
      <c r="K184" s="256"/>
      <c r="L184" s="257"/>
      <c r="M184" s="257"/>
      <c r="N184" s="257"/>
      <c r="O184" s="257"/>
      <c r="P184" s="257"/>
      <c r="Q184" s="257"/>
      <c r="R184" s="258"/>
    </row>
    <row r="185" spans="1:18" s="91" customFormat="1" ht="15" customHeight="1" thickBot="1" x14ac:dyDescent="0.3">
      <c r="A185" s="261" t="s">
        <v>116</v>
      </c>
      <c r="B185" s="262"/>
      <c r="C185" s="88">
        <f>0.15*C179+0.85*C180</f>
        <v>3.4980752059140143</v>
      </c>
      <c r="D185" s="88">
        <f t="shared" ref="D185:I185" si="29">0.15*D179+0.85*D180</f>
        <v>4.9583174028585129</v>
      </c>
      <c r="E185" s="88">
        <f t="shared" si="29"/>
        <v>5.9722979836088985</v>
      </c>
      <c r="F185" s="88">
        <f t="shared" si="29"/>
        <v>6.946985751124525</v>
      </c>
      <c r="G185" s="88">
        <f t="shared" si="29"/>
        <v>7.8339164983965173</v>
      </c>
      <c r="H185" s="88">
        <f t="shared" si="29"/>
        <v>8.6855857540857446</v>
      </c>
      <c r="I185" s="88">
        <f t="shared" si="29"/>
        <v>10.199698147812748</v>
      </c>
      <c r="J185" s="89">
        <f t="shared" si="24"/>
        <v>6.8706966776858511</v>
      </c>
      <c r="K185" s="263"/>
      <c r="L185" s="264"/>
      <c r="M185" s="264"/>
      <c r="N185" s="264"/>
      <c r="O185" s="264"/>
      <c r="P185" s="265"/>
      <c r="Q185" s="266" t="s">
        <v>0</v>
      </c>
      <c r="R185" s="267"/>
    </row>
    <row r="186" spans="1:18" s="91" customFormat="1" ht="15" customHeight="1" thickBot="1" x14ac:dyDescent="0.3">
      <c r="A186" s="90">
        <v>6</v>
      </c>
      <c r="B186" s="124" t="s">
        <v>117</v>
      </c>
      <c r="C186" s="124"/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</row>
    <row r="187" spans="1:18" s="91" customFormat="1" ht="15" customHeight="1" thickBot="1" x14ac:dyDescent="0.3">
      <c r="A187" s="127" t="s">
        <v>0</v>
      </c>
      <c r="B187" s="128"/>
      <c r="C187" s="128"/>
      <c r="D187" s="128"/>
      <c r="E187" s="129"/>
      <c r="F187" s="130" t="s">
        <v>1</v>
      </c>
      <c r="G187" s="131"/>
      <c r="H187" s="132"/>
      <c r="I187" s="1" t="str">
        <f>CONCATENATE(B189,".04")</f>
        <v>1138.04</v>
      </c>
      <c r="J187" s="2" t="s">
        <v>2</v>
      </c>
      <c r="K187" s="133" t="s">
        <v>3</v>
      </c>
      <c r="L187" s="134"/>
      <c r="M187" s="135"/>
      <c r="N187" s="3" t="str">
        <f>I187</f>
        <v>1138.04</v>
      </c>
      <c r="O187" s="136" t="s">
        <v>4</v>
      </c>
      <c r="P187" s="137"/>
      <c r="Q187" s="138"/>
      <c r="R187" s="4" t="s">
        <v>5</v>
      </c>
    </row>
    <row r="188" spans="1:18" s="91" customFormat="1" ht="15" customHeight="1" x14ac:dyDescent="0.25">
      <c r="A188" s="139" t="s">
        <v>152</v>
      </c>
      <c r="B188" s="140"/>
      <c r="C188" s="141"/>
      <c r="D188" s="142" t="s">
        <v>6</v>
      </c>
      <c r="E188" s="143"/>
      <c r="F188" s="144" t="s">
        <v>7</v>
      </c>
      <c r="G188" s="145"/>
      <c r="H188" s="145"/>
      <c r="I188" s="145"/>
      <c r="J188" s="146"/>
      <c r="K188" s="147" t="s">
        <v>8</v>
      </c>
      <c r="L188" s="148"/>
      <c r="M188" s="148"/>
      <c r="N188" s="149"/>
      <c r="O188" s="150" t="s">
        <v>9</v>
      </c>
      <c r="P188" s="151"/>
      <c r="Q188" s="151"/>
      <c r="R188" s="152"/>
    </row>
    <row r="189" spans="1:18" s="91" customFormat="1" ht="15" customHeight="1" x14ac:dyDescent="0.25">
      <c r="A189" s="5" t="s">
        <v>10</v>
      </c>
      <c r="B189" s="6">
        <v>1138</v>
      </c>
      <c r="C189" s="7"/>
      <c r="D189" s="157">
        <f>INT(457468*H203^(-1.475))</f>
        <v>25</v>
      </c>
      <c r="E189" s="158"/>
      <c r="F189" s="8" t="s">
        <v>11</v>
      </c>
      <c r="G189" s="9"/>
      <c r="H189" s="159" t="s">
        <v>153</v>
      </c>
      <c r="I189" s="160"/>
      <c r="J189" s="161"/>
      <c r="K189" s="10" t="s">
        <v>12</v>
      </c>
      <c r="L189" s="11">
        <v>1802</v>
      </c>
      <c r="M189" s="290"/>
      <c r="N189" s="291"/>
      <c r="O189" s="12" t="s">
        <v>13</v>
      </c>
      <c r="P189" s="13" t="s">
        <v>146</v>
      </c>
      <c r="Q189" s="14" t="s">
        <v>14</v>
      </c>
      <c r="R189" s="15">
        <v>10</v>
      </c>
    </row>
    <row r="190" spans="1:18" s="91" customFormat="1" ht="15" customHeight="1" x14ac:dyDescent="0.25">
      <c r="A190" s="164"/>
      <c r="B190" s="165"/>
      <c r="C190" s="16"/>
      <c r="D190" s="157" t="s">
        <v>217</v>
      </c>
      <c r="E190" s="158"/>
      <c r="F190" s="166" t="s">
        <v>15</v>
      </c>
      <c r="G190" s="167"/>
      <c r="H190" s="159" t="s">
        <v>154</v>
      </c>
      <c r="I190" s="160"/>
      <c r="J190" s="161"/>
      <c r="K190" s="10" t="s">
        <v>16</v>
      </c>
      <c r="L190" s="19">
        <v>7.65</v>
      </c>
      <c r="M190" s="18" t="s">
        <v>17</v>
      </c>
      <c r="N190" s="19">
        <v>2.76</v>
      </c>
      <c r="O190" s="20" t="s">
        <v>18</v>
      </c>
      <c r="P190" s="21">
        <v>24</v>
      </c>
      <c r="Q190" s="22" t="s">
        <v>19</v>
      </c>
      <c r="R190" s="23">
        <v>8</v>
      </c>
    </row>
    <row r="191" spans="1:18" s="91" customFormat="1" ht="15" customHeight="1" x14ac:dyDescent="0.25">
      <c r="A191" s="174" t="s">
        <v>20</v>
      </c>
      <c r="B191" s="175"/>
      <c r="C191" s="176"/>
      <c r="D191" s="125" t="s">
        <v>21</v>
      </c>
      <c r="E191" s="126"/>
      <c r="F191" s="166" t="s">
        <v>22</v>
      </c>
      <c r="G191" s="167"/>
      <c r="H191" s="159" t="s">
        <v>155</v>
      </c>
      <c r="I191" s="160"/>
      <c r="J191" s="161"/>
      <c r="K191" s="10" t="s">
        <v>23</v>
      </c>
      <c r="L191" s="19">
        <v>0.82</v>
      </c>
      <c r="M191" s="18" t="s">
        <v>24</v>
      </c>
      <c r="N191" s="19"/>
      <c r="O191" s="20" t="s">
        <v>25</v>
      </c>
      <c r="P191" s="21"/>
      <c r="Q191" s="22" t="s">
        <v>26</v>
      </c>
      <c r="R191" s="23"/>
    </row>
    <row r="192" spans="1:18" s="91" customFormat="1" ht="15" customHeight="1" thickBot="1" x14ac:dyDescent="0.3">
      <c r="A192" s="174" t="s">
        <v>27</v>
      </c>
      <c r="B192" s="175"/>
      <c r="C192" s="176"/>
      <c r="D192" s="177" t="s">
        <v>28</v>
      </c>
      <c r="E192" s="149"/>
      <c r="F192" s="224" t="s">
        <v>29</v>
      </c>
      <c r="G192" s="225"/>
      <c r="H192" s="173">
        <v>2012</v>
      </c>
      <c r="I192" s="178"/>
      <c r="J192" s="226"/>
      <c r="K192" s="24" t="s">
        <v>30</v>
      </c>
      <c r="L192" s="19">
        <v>0.39</v>
      </c>
      <c r="M192" s="25" t="s">
        <v>31</v>
      </c>
      <c r="N192" s="19"/>
      <c r="O192" s="26" t="s">
        <v>32</v>
      </c>
      <c r="P192" s="27">
        <v>20</v>
      </c>
      <c r="Q192" s="28" t="s">
        <v>33</v>
      </c>
      <c r="R192" s="29"/>
    </row>
    <row r="193" spans="1:18" s="91" customFormat="1" ht="15" customHeight="1" x14ac:dyDescent="0.25">
      <c r="A193" s="174" t="s">
        <v>34</v>
      </c>
      <c r="B193" s="175"/>
      <c r="C193" s="176"/>
      <c r="D193" s="177" t="s">
        <v>35</v>
      </c>
      <c r="E193" s="149"/>
      <c r="F193" s="166" t="s">
        <v>36</v>
      </c>
      <c r="G193" s="167"/>
      <c r="H193" s="173" t="s">
        <v>122</v>
      </c>
      <c r="I193" s="178"/>
      <c r="J193" s="179"/>
      <c r="K193" s="180" t="s">
        <v>37</v>
      </c>
      <c r="L193" s="181"/>
      <c r="M193" s="181"/>
      <c r="N193" s="181"/>
      <c r="O193" s="181"/>
      <c r="P193" s="181"/>
      <c r="Q193" s="181"/>
      <c r="R193" s="182"/>
    </row>
    <row r="194" spans="1:18" s="91" customFormat="1" ht="15" customHeight="1" x14ac:dyDescent="0.25">
      <c r="A194" s="147" t="s">
        <v>35</v>
      </c>
      <c r="B194" s="148"/>
      <c r="C194" s="183"/>
      <c r="D194" s="184"/>
      <c r="E194" s="185"/>
      <c r="F194" s="166" t="s">
        <v>38</v>
      </c>
      <c r="G194" s="167"/>
      <c r="H194" s="186"/>
      <c r="I194" s="186"/>
      <c r="J194" s="30">
        <f>IF(H195="Подвесной мотор",0,IF(H194="Литой",0.005,0))</f>
        <v>0</v>
      </c>
      <c r="K194" s="31" t="s">
        <v>39</v>
      </c>
      <c r="L194" s="92">
        <v>5</v>
      </c>
      <c r="M194" s="33" t="s">
        <v>40</v>
      </c>
      <c r="N194" s="93">
        <v>3.5000000000000003E-2</v>
      </c>
      <c r="O194" s="94" t="s">
        <v>41</v>
      </c>
      <c r="P194" s="61">
        <f>L194*L198*N199*0.0175/N194</f>
        <v>25.362358181173544</v>
      </c>
      <c r="Q194" s="187"/>
      <c r="R194" s="188"/>
    </row>
    <row r="195" spans="1:18" s="91" customFormat="1" ht="15" customHeight="1" thickBot="1" x14ac:dyDescent="0.3">
      <c r="A195" s="168"/>
      <c r="B195" s="169"/>
      <c r="C195" s="170"/>
      <c r="D195" s="171"/>
      <c r="E195" s="172"/>
      <c r="F195" s="166" t="s">
        <v>42</v>
      </c>
      <c r="G195" s="167"/>
      <c r="H195" s="173" t="s">
        <v>142</v>
      </c>
      <c r="I195" s="173"/>
      <c r="J195" s="30">
        <f>IF(H195="Без двигателя",1,IF(H195="Подвесной мотор",0.995,IF(H195="Привод в кронштейне",0.99,IF(H195="Открытый вал",0.98,IF(H195="Закрытый вал",0.97,IF(H195="В вырезе",0.96,"Установка ? "))))))</f>
        <v>0.995</v>
      </c>
      <c r="K195" s="31" t="s">
        <v>43</v>
      </c>
      <c r="L195" s="92">
        <v>10.5</v>
      </c>
      <c r="M195" s="33" t="s">
        <v>44</v>
      </c>
      <c r="N195" s="93">
        <v>7.2999999999999995E-2</v>
      </c>
      <c r="O195" s="94" t="s">
        <v>45</v>
      </c>
      <c r="P195" s="61">
        <f>L195*L198*N199*0.0175/N195</f>
        <v>25.536072963236389</v>
      </c>
      <c r="Q195" s="189"/>
      <c r="R195" s="190"/>
    </row>
    <row r="196" spans="1:18" s="91" customFormat="1" ht="15" customHeight="1" x14ac:dyDescent="0.25">
      <c r="A196" s="36"/>
      <c r="B196" s="37"/>
      <c r="C196" s="37"/>
      <c r="D196" s="37"/>
      <c r="E196" s="37"/>
      <c r="F196" s="144" t="s">
        <v>46</v>
      </c>
      <c r="G196" s="153"/>
      <c r="H196" s="154"/>
      <c r="I196" s="155"/>
      <c r="J196" s="156"/>
      <c r="K196" s="38" t="s">
        <v>47</v>
      </c>
      <c r="L196" s="92">
        <v>15.6</v>
      </c>
      <c r="M196" s="33" t="s">
        <v>48</v>
      </c>
      <c r="N196" s="93">
        <v>0.109</v>
      </c>
      <c r="O196" s="94" t="s">
        <v>49</v>
      </c>
      <c r="P196" s="61">
        <f>L196*L198*N199*0.0175/N196</f>
        <v>25.408894618203224</v>
      </c>
      <c r="Q196" s="189"/>
      <c r="R196" s="190"/>
    </row>
    <row r="197" spans="1:18" s="91" customFormat="1" ht="15" customHeight="1" x14ac:dyDescent="0.25">
      <c r="A197" s="36"/>
      <c r="B197" s="37"/>
      <c r="C197" s="37"/>
      <c r="D197" s="37"/>
      <c r="E197" s="37"/>
      <c r="F197" s="39"/>
      <c r="G197" s="37"/>
      <c r="H197" s="37"/>
      <c r="I197" s="37"/>
      <c r="J197" s="37"/>
      <c r="K197" s="38" t="s">
        <v>50</v>
      </c>
      <c r="L197" s="95">
        <v>20.7</v>
      </c>
      <c r="M197" s="33" t="s">
        <v>51</v>
      </c>
      <c r="N197" s="93">
        <v>0.14499999999999999</v>
      </c>
      <c r="O197" s="94" t="s">
        <v>52</v>
      </c>
      <c r="P197" s="61">
        <f>L197*L198*N199*0.0175/N197</f>
        <v>25.344866899669292</v>
      </c>
      <c r="Q197" s="189"/>
      <c r="R197" s="190"/>
    </row>
    <row r="198" spans="1:18" s="91" customFormat="1" ht="15" customHeight="1" x14ac:dyDescent="0.25">
      <c r="A198" s="197" t="s">
        <v>53</v>
      </c>
      <c r="B198" s="198"/>
      <c r="C198" s="41"/>
      <c r="D198" s="41"/>
      <c r="E198" s="41"/>
      <c r="F198" s="42"/>
      <c r="G198" s="41"/>
      <c r="H198" s="41"/>
      <c r="I198" s="41"/>
      <c r="J198" s="41"/>
      <c r="K198" s="31" t="s">
        <v>54</v>
      </c>
      <c r="L198" s="43">
        <v>6.76</v>
      </c>
      <c r="M198" s="33" t="s">
        <v>55</v>
      </c>
      <c r="N198" s="34">
        <v>1.5049999999999999</v>
      </c>
      <c r="O198" s="18" t="s">
        <v>56</v>
      </c>
      <c r="P198" s="96">
        <f>AVERAGE(P194:P197)</f>
        <v>25.413048165570615</v>
      </c>
      <c r="Q198" s="189"/>
      <c r="R198" s="190"/>
    </row>
    <row r="199" spans="1:18" s="91" customFormat="1" ht="15" customHeight="1" x14ac:dyDescent="0.25">
      <c r="A199" s="199" t="s">
        <v>156</v>
      </c>
      <c r="B199" s="200"/>
      <c r="C199" s="200"/>
      <c r="D199" s="200"/>
      <c r="E199" s="200"/>
      <c r="F199" s="200"/>
      <c r="G199" s="200"/>
      <c r="H199" s="200"/>
      <c r="I199" s="200"/>
      <c r="J199" s="201"/>
      <c r="K199" s="45" t="s">
        <v>57</v>
      </c>
      <c r="L199" s="34">
        <v>6.4000000000000001E-2</v>
      </c>
      <c r="M199" s="33" t="s">
        <v>58</v>
      </c>
      <c r="N199" s="46">
        <f>N198/(1+L199/L200)</f>
        <v>1.5007312533238786</v>
      </c>
      <c r="O199" s="47" t="s">
        <v>59</v>
      </c>
      <c r="P199" s="48">
        <f>3.281*((0.03*B203*B204^3*1025.8-54*P198)/L189-0.0625*B203)+0.25</f>
        <v>-0.13105072554685476</v>
      </c>
      <c r="Q199" s="191"/>
      <c r="R199" s="192"/>
    </row>
    <row r="200" spans="1:18" s="91" customFormat="1" ht="15" customHeight="1" thickBot="1" x14ac:dyDescent="0.3">
      <c r="A200" s="292" t="s">
        <v>157</v>
      </c>
      <c r="B200" s="293"/>
      <c r="C200" s="293"/>
      <c r="D200" s="293"/>
      <c r="E200" s="293"/>
      <c r="F200" s="293"/>
      <c r="G200" s="293"/>
      <c r="H200" s="293"/>
      <c r="I200" s="293"/>
      <c r="J200" s="294"/>
      <c r="K200" s="49" t="s">
        <v>60</v>
      </c>
      <c r="L200" s="50">
        <v>22.5</v>
      </c>
      <c r="M200" s="205" t="s">
        <v>61</v>
      </c>
      <c r="N200" s="206"/>
      <c r="O200" s="206"/>
      <c r="P200" s="207"/>
      <c r="Q200" s="208">
        <v>40727</v>
      </c>
      <c r="R200" s="208"/>
    </row>
    <row r="201" spans="1:18" s="91" customFormat="1" ht="15" customHeight="1" x14ac:dyDescent="0.25">
      <c r="A201" s="209" t="s">
        <v>62</v>
      </c>
      <c r="B201" s="210"/>
      <c r="C201" s="210"/>
      <c r="D201" s="210"/>
      <c r="E201" s="210"/>
      <c r="F201" s="210"/>
      <c r="G201" s="210"/>
      <c r="H201" s="210"/>
      <c r="I201" s="210"/>
      <c r="J201" s="211"/>
      <c r="K201" s="180" t="s">
        <v>63</v>
      </c>
      <c r="L201" s="181"/>
      <c r="M201" s="181"/>
      <c r="N201" s="181"/>
      <c r="O201" s="181"/>
      <c r="P201" s="181"/>
      <c r="Q201" s="181"/>
      <c r="R201" s="182"/>
    </row>
    <row r="202" spans="1:18" s="91" customFormat="1" ht="15" customHeight="1" x14ac:dyDescent="0.25">
      <c r="A202" s="242" t="s">
        <v>64</v>
      </c>
      <c r="B202" s="243"/>
      <c r="C202" s="244" t="s">
        <v>65</v>
      </c>
      <c r="D202" s="245"/>
      <c r="E202" s="246" t="s">
        <v>66</v>
      </c>
      <c r="F202" s="247"/>
      <c r="G202" s="142" t="s">
        <v>67</v>
      </c>
      <c r="H202" s="250"/>
      <c r="I202" s="250"/>
      <c r="J202" s="143"/>
      <c r="K202" s="193" t="s">
        <v>68</v>
      </c>
      <c r="L202" s="194"/>
      <c r="M202" s="195" t="s">
        <v>69</v>
      </c>
      <c r="N202" s="196"/>
      <c r="O202" s="227" t="s">
        <v>70</v>
      </c>
      <c r="P202" s="194"/>
      <c r="Q202" s="195" t="s">
        <v>71</v>
      </c>
      <c r="R202" s="228"/>
    </row>
    <row r="203" spans="1:18" s="91" customFormat="1" ht="15" customHeight="1" x14ac:dyDescent="0.25">
      <c r="A203" s="10" t="s">
        <v>72</v>
      </c>
      <c r="B203" s="44">
        <f>L190-L191-L192</f>
        <v>6.44</v>
      </c>
      <c r="C203" s="51" t="s">
        <v>73</v>
      </c>
      <c r="D203" s="52">
        <f>0.125*L203*(L205+2*L206+3*L207+2*L204)</f>
        <v>18.85235625</v>
      </c>
      <c r="E203" s="248"/>
      <c r="F203" s="249"/>
      <c r="G203" s="53" t="s">
        <v>74</v>
      </c>
      <c r="H203" s="54">
        <f>3600/(0.5*( D212+F212))</f>
        <v>758.81606674083775</v>
      </c>
      <c r="I203" s="55" t="s">
        <v>75</v>
      </c>
      <c r="J203" s="56">
        <f>I210</f>
        <v>5.5248040193103058</v>
      </c>
      <c r="K203" s="10" t="s">
        <v>76</v>
      </c>
      <c r="L203" s="57">
        <v>8.89</v>
      </c>
      <c r="M203" s="18" t="s">
        <v>77</v>
      </c>
      <c r="N203" s="57">
        <v>8.6199999999999992</v>
      </c>
      <c r="O203" s="18" t="s">
        <v>78</v>
      </c>
      <c r="P203" s="58">
        <v>8.34</v>
      </c>
      <c r="Q203" s="18" t="s">
        <v>79</v>
      </c>
      <c r="R203" s="59">
        <v>10.3</v>
      </c>
    </row>
    <row r="204" spans="1:18" s="91" customFormat="1" ht="15" customHeight="1" x14ac:dyDescent="0.25">
      <c r="A204" s="10" t="s">
        <v>80</v>
      </c>
      <c r="B204" s="44">
        <v>2.12</v>
      </c>
      <c r="C204" s="18" t="s">
        <v>81</v>
      </c>
      <c r="D204" s="52">
        <f>N203*N204*0.5</f>
        <v>15.7746</v>
      </c>
      <c r="E204" s="60" t="s">
        <v>82</v>
      </c>
      <c r="F204" s="61">
        <f>0.85*B203*B204</f>
        <v>11.604880000000001</v>
      </c>
      <c r="G204" s="62" t="s">
        <v>83</v>
      </c>
      <c r="H204" s="63">
        <f>3600/H203</f>
        <v>4.7442327037989909</v>
      </c>
      <c r="I204" s="64" t="s">
        <v>84</v>
      </c>
      <c r="J204" s="56">
        <f>I211</f>
        <v>9.7880735464999908</v>
      </c>
      <c r="K204" s="65" t="s">
        <v>85</v>
      </c>
      <c r="L204" s="57">
        <v>3.57</v>
      </c>
      <c r="M204" s="18" t="s">
        <v>86</v>
      </c>
      <c r="N204" s="57">
        <v>3.66</v>
      </c>
      <c r="O204" s="18" t="s">
        <v>87</v>
      </c>
      <c r="P204" s="58">
        <v>4.7</v>
      </c>
      <c r="Q204" s="18" t="s">
        <v>88</v>
      </c>
      <c r="R204" s="59">
        <v>8.32</v>
      </c>
    </row>
    <row r="205" spans="1:18" s="91" customFormat="1" ht="15" customHeight="1" x14ac:dyDescent="0.25">
      <c r="A205" s="66" t="s">
        <v>89</v>
      </c>
      <c r="B205" s="67">
        <f>IF(H192&gt;2012,1,IF(H192&gt;2008,0.995,0.99))</f>
        <v>0.995</v>
      </c>
      <c r="C205" s="18" t="s">
        <v>90</v>
      </c>
      <c r="D205" s="52">
        <f>IF(   P205="0",0.8*P203*P204, 0.5*P205*P203+2*(P204-0.5*P205)*P203/3)</f>
        <v>31.3584</v>
      </c>
      <c r="E205" s="68"/>
      <c r="F205" s="69"/>
      <c r="G205" s="69"/>
      <c r="H205" s="69"/>
      <c r="I205" s="70"/>
      <c r="J205" s="71"/>
      <c r="K205" s="10" t="s">
        <v>91</v>
      </c>
      <c r="L205" s="72">
        <v>0.14499999999999999</v>
      </c>
      <c r="M205" s="227"/>
      <c r="N205" s="194"/>
      <c r="O205" s="18" t="s">
        <v>92</v>
      </c>
      <c r="P205" s="73">
        <v>3.76</v>
      </c>
      <c r="Q205" s="18" t="s">
        <v>93</v>
      </c>
      <c r="R205" s="59">
        <v>4.8099999999999996</v>
      </c>
    </row>
    <row r="206" spans="1:18" s="91" customFormat="1" ht="15" customHeight="1" x14ac:dyDescent="0.25">
      <c r="A206" s="10" t="s">
        <v>94</v>
      </c>
      <c r="B206" s="35">
        <f>J195-J194</f>
        <v>0.995</v>
      </c>
      <c r="C206" s="18" t="s">
        <v>95</v>
      </c>
      <c r="D206" s="52">
        <f>(0.5*(R203+R204)*(R205+4*R206))/6</f>
        <v>32.228116666666672</v>
      </c>
      <c r="E206" s="74"/>
      <c r="F206" s="74"/>
      <c r="G206" s="74"/>
      <c r="H206" s="74"/>
      <c r="I206" s="74"/>
      <c r="J206" s="74"/>
      <c r="K206" s="10" t="s">
        <v>96</v>
      </c>
      <c r="L206" s="75">
        <v>1.33</v>
      </c>
      <c r="M206" s="187"/>
      <c r="N206" s="229"/>
      <c r="O206" s="229"/>
      <c r="P206" s="230"/>
      <c r="Q206" s="18" t="s">
        <v>97</v>
      </c>
      <c r="R206" s="59">
        <v>3.99</v>
      </c>
    </row>
    <row r="207" spans="1:18" s="91" customFormat="1" ht="15" customHeight="1" x14ac:dyDescent="0.25">
      <c r="A207" s="10" t="s">
        <v>98</v>
      </c>
      <c r="B207" s="67">
        <f>IF(H193="шверт",1.005,1)</f>
        <v>1</v>
      </c>
      <c r="C207" s="16" t="s">
        <v>99</v>
      </c>
      <c r="D207" s="76">
        <f>D203+MAX(D205,D204,D206)</f>
        <v>51.080472916666672</v>
      </c>
      <c r="E207" s="77"/>
      <c r="F207" s="78"/>
      <c r="G207" s="78"/>
      <c r="H207" s="78"/>
      <c r="I207" s="78"/>
      <c r="J207" s="78"/>
      <c r="K207" s="10" t="s">
        <v>100</v>
      </c>
      <c r="L207" s="75">
        <v>2.34</v>
      </c>
      <c r="M207" s="191"/>
      <c r="N207" s="231"/>
      <c r="O207" s="231"/>
      <c r="P207" s="232"/>
      <c r="Q207" s="227"/>
      <c r="R207" s="233"/>
    </row>
    <row r="208" spans="1:18" s="91" customFormat="1" ht="15" customHeight="1" x14ac:dyDescent="0.25">
      <c r="A208" s="234"/>
      <c r="B208" s="235"/>
      <c r="C208" s="16" t="s">
        <v>101</v>
      </c>
      <c r="D208" s="79">
        <f>D203+D204</f>
        <v>34.626956249999999</v>
      </c>
      <c r="E208" s="236" t="s">
        <v>102</v>
      </c>
      <c r="F208" s="237"/>
      <c r="G208" s="237"/>
      <c r="H208" s="237"/>
      <c r="I208" s="238"/>
      <c r="J208" s="80" t="s">
        <v>103</v>
      </c>
      <c r="K208" s="239"/>
      <c r="L208" s="240"/>
      <c r="M208" s="240"/>
      <c r="N208" s="240"/>
      <c r="O208" s="240"/>
      <c r="P208" s="240"/>
      <c r="Q208" s="240"/>
      <c r="R208" s="241"/>
    </row>
    <row r="209" spans="1:18" s="91" customFormat="1" ht="15" customHeight="1" thickBot="1" x14ac:dyDescent="0.3">
      <c r="A209" s="212" t="s">
        <v>104</v>
      </c>
      <c r="B209" s="213"/>
      <c r="C209" s="81">
        <v>6</v>
      </c>
      <c r="D209" s="81">
        <v>8</v>
      </c>
      <c r="E209" s="81">
        <v>10</v>
      </c>
      <c r="F209" s="81">
        <v>12</v>
      </c>
      <c r="G209" s="81">
        <v>14</v>
      </c>
      <c r="H209" s="81">
        <v>16</v>
      </c>
      <c r="I209" s="82">
        <v>20</v>
      </c>
      <c r="J209" s="97">
        <f>AVERAGE(J210:J216)</f>
        <v>5.3802062324301065</v>
      </c>
      <c r="K209" s="164" t="s">
        <v>105</v>
      </c>
      <c r="L209" s="165"/>
      <c r="M209" s="214" t="str">
        <f>IF(P199&gt;-0.25,"SV непригодно для категории гонок 0,1,2 и3"," ")</f>
        <v>SV непригодно для категории гонок 0,1,2 и3</v>
      </c>
      <c r="N209" s="215"/>
      <c r="O209" s="215"/>
      <c r="P209" s="215"/>
      <c r="Q209" s="215"/>
      <c r="R209" s="216"/>
    </row>
    <row r="210" spans="1:18" s="91" customFormat="1" ht="15" customHeight="1" x14ac:dyDescent="0.25">
      <c r="A210" s="217" t="s">
        <v>106</v>
      </c>
      <c r="B210" s="218"/>
      <c r="C210" s="63">
        <f>SQRT(C209/I209)*I210</f>
        <v>3.0260597871714618</v>
      </c>
      <c r="D210" s="63">
        <f>SQRT(D209/I209)*I210</f>
        <v>3.4941928654146905</v>
      </c>
      <c r="E210" s="63">
        <f>SQRT(E209/I209)*I210</f>
        <v>3.9066263867810109</v>
      </c>
      <c r="F210" s="63">
        <f>SQRT(F209/I209)*I210</f>
        <v>4.2794947915697232</v>
      </c>
      <c r="G210" s="63">
        <f>SQRT(G209/I209)*I210</f>
        <v>4.6223826773917276</v>
      </c>
      <c r="H210" s="63">
        <f>SQRT(H209/I209)*I210</f>
        <v>4.9415349398167621</v>
      </c>
      <c r="I210" s="63">
        <f>(D208^(0.25)/((0.001*L189)^(1/6)))*(SQRT(B203)*B205*B206)</f>
        <v>5.5248040193103058</v>
      </c>
      <c r="J210" s="84">
        <f t="shared" ref="J210:J216" si="30">AVERAGE(C210:I210)</f>
        <v>4.2564422096365258</v>
      </c>
      <c r="K210" s="219" t="s">
        <v>107</v>
      </c>
      <c r="L210" s="220"/>
      <c r="M210" s="221" t="s">
        <v>143</v>
      </c>
      <c r="N210" s="222"/>
      <c r="O210" s="222"/>
      <c r="P210" s="222"/>
      <c r="Q210" s="222"/>
      <c r="R210" s="223"/>
    </row>
    <row r="211" spans="1:18" s="91" customFormat="1" ht="15" customHeight="1" x14ac:dyDescent="0.25">
      <c r="A211" s="217" t="s">
        <v>108</v>
      </c>
      <c r="B211" s="218"/>
      <c r="C211" s="63">
        <f>SQRT(C209/I209)*SQRT(D207/(SQRT(0.69)*F204))*SQRT(B203)*B205*B206*B207</f>
        <v>3.1677038873510273</v>
      </c>
      <c r="D211" s="63">
        <f>SQRT(D209/I209)*SQRT(D207/(0.52*F204))*SQRT(B203)*B205*B206*B207</f>
        <v>4.6230069541862644</v>
      </c>
      <c r="E211" s="63">
        <f>SQRT(E209/I209)*SQRT(D207/(0.44*F204))*SQRT(B203)*B205*B206*B207</f>
        <v>5.6189463675859983</v>
      </c>
      <c r="F211" s="63">
        <f>SQRT(F209/I209)*SQRT(D207/(0.385*F204))*SQRT(B203)*B205*B206*B207</f>
        <v>6.5802362040252849</v>
      </c>
      <c r="G211" s="63">
        <f>SQRT(G209/I209)*SQRT(D207/(0.35*F204))*SQRT(B203)*B205*B206*B207</f>
        <v>7.4543747273652601</v>
      </c>
      <c r="H211" s="63">
        <f>SQRT(H209/I209)*SQRT(D207/(0.323*F204))*SQRT(B203)*B205*B206*B207</f>
        <v>8.2954500995519904</v>
      </c>
      <c r="I211" s="63">
        <f>SQRT(D207/(0.29*F204))*SQRT(B203)*B205*B206*B207</f>
        <v>9.7880735464999908</v>
      </c>
      <c r="J211" s="84">
        <f t="shared" si="30"/>
        <v>6.5039702552236873</v>
      </c>
      <c r="K211" s="85" t="s">
        <v>109</v>
      </c>
      <c r="L211" s="86"/>
      <c r="M211" s="87">
        <v>41475</v>
      </c>
      <c r="N211" s="268"/>
      <c r="O211" s="269"/>
      <c r="P211" s="269"/>
      <c r="Q211" s="269"/>
      <c r="R211" s="270"/>
    </row>
    <row r="212" spans="1:18" s="91" customFormat="1" ht="15" customHeight="1" x14ac:dyDescent="0.25">
      <c r="A212" s="251" t="s">
        <v>110</v>
      </c>
      <c r="B212" s="252"/>
      <c r="C212" s="63">
        <f>0.5*(C210+C211)</f>
        <v>3.0968818372612446</v>
      </c>
      <c r="D212" s="63">
        <f t="shared" ref="D212:I212" si="31">0.5*(D210+D211)</f>
        <v>4.0585999098004777</v>
      </c>
      <c r="E212" s="63">
        <f t="shared" si="31"/>
        <v>4.7627863771835042</v>
      </c>
      <c r="F212" s="63">
        <f t="shared" si="31"/>
        <v>5.429865497797504</v>
      </c>
      <c r="G212" s="63">
        <f t="shared" si="31"/>
        <v>6.0383787023784938</v>
      </c>
      <c r="H212" s="63">
        <f t="shared" si="31"/>
        <v>6.6184925196843762</v>
      </c>
      <c r="I212" s="63">
        <f t="shared" si="31"/>
        <v>7.6564387829051483</v>
      </c>
      <c r="J212" s="84">
        <f t="shared" si="30"/>
        <v>5.3802062324301074</v>
      </c>
      <c r="K212" s="166" t="s">
        <v>111</v>
      </c>
      <c r="L212" s="167"/>
      <c r="M212" s="87">
        <v>41485</v>
      </c>
      <c r="N212" s="271"/>
      <c r="O212" s="272"/>
      <c r="P212" s="272"/>
      <c r="Q212" s="272"/>
      <c r="R212" s="273"/>
    </row>
    <row r="213" spans="1:18" s="91" customFormat="1" ht="15" customHeight="1" x14ac:dyDescent="0.25">
      <c r="A213" s="251" t="s">
        <v>112</v>
      </c>
      <c r="B213" s="252"/>
      <c r="C213" s="63">
        <f>0.85*C210+0.15*C211</f>
        <v>3.0473064021983967</v>
      </c>
      <c r="D213" s="63">
        <f t="shared" ref="D213:I213" si="32">0.85*D210+0.15*D211</f>
        <v>3.6635149787304262</v>
      </c>
      <c r="E213" s="63">
        <f t="shared" si="32"/>
        <v>4.1634743839017592</v>
      </c>
      <c r="F213" s="63">
        <f t="shared" si="32"/>
        <v>4.6246060034380569</v>
      </c>
      <c r="G213" s="63">
        <f t="shared" si="32"/>
        <v>5.0471814848877568</v>
      </c>
      <c r="H213" s="63">
        <f t="shared" si="32"/>
        <v>5.4446222137770457</v>
      </c>
      <c r="I213" s="63">
        <f t="shared" si="32"/>
        <v>6.164294448388759</v>
      </c>
      <c r="J213" s="84">
        <f t="shared" si="30"/>
        <v>4.5935714164746004</v>
      </c>
      <c r="K213" s="224" t="s">
        <v>113</v>
      </c>
      <c r="L213" s="225"/>
      <c r="M213" s="184"/>
      <c r="N213" s="274"/>
      <c r="O213" s="274"/>
      <c r="P213" s="274"/>
      <c r="Q213" s="274"/>
      <c r="R213" s="185"/>
    </row>
    <row r="214" spans="1:18" s="91" customFormat="1" ht="15" customHeight="1" x14ac:dyDescent="0.25">
      <c r="A214" s="251" t="s">
        <v>114</v>
      </c>
      <c r="B214" s="252"/>
      <c r="C214" s="63">
        <f>0.75*C210+0.25*C211</f>
        <v>3.0614708122163532</v>
      </c>
      <c r="D214" s="63">
        <f t="shared" ref="D214:I214" si="33">0.75*D210+0.25*D211</f>
        <v>3.7763963876075839</v>
      </c>
      <c r="E214" s="63">
        <f t="shared" si="33"/>
        <v>4.334706381982258</v>
      </c>
      <c r="F214" s="63">
        <f t="shared" si="33"/>
        <v>4.8546801446836136</v>
      </c>
      <c r="G214" s="63">
        <f t="shared" si="33"/>
        <v>5.3303806898851107</v>
      </c>
      <c r="H214" s="63">
        <f t="shared" si="33"/>
        <v>5.7800137297505696</v>
      </c>
      <c r="I214" s="63">
        <f t="shared" si="33"/>
        <v>6.5906214011077271</v>
      </c>
      <c r="J214" s="84">
        <f t="shared" si="30"/>
        <v>4.8183242210333157</v>
      </c>
      <c r="K214" s="253"/>
      <c r="L214" s="254"/>
      <c r="M214" s="254"/>
      <c r="N214" s="254"/>
      <c r="O214" s="254"/>
      <c r="P214" s="254"/>
      <c r="Q214" s="254"/>
      <c r="R214" s="255"/>
    </row>
    <row r="215" spans="1:18" s="91" customFormat="1" ht="15" customHeight="1" x14ac:dyDescent="0.25">
      <c r="A215" s="259" t="s">
        <v>115</v>
      </c>
      <c r="B215" s="260"/>
      <c r="C215" s="63">
        <f>0.25*C210+0.75*C211</f>
        <v>3.1322928623061359</v>
      </c>
      <c r="D215" s="63">
        <f t="shared" ref="D215:I215" si="34">0.25*D210+0.75*D211</f>
        <v>4.340803431993371</v>
      </c>
      <c r="E215" s="63">
        <f t="shared" si="34"/>
        <v>5.1908663723847512</v>
      </c>
      <c r="F215" s="63">
        <f t="shared" si="34"/>
        <v>6.0050508509113953</v>
      </c>
      <c r="G215" s="63">
        <f t="shared" si="34"/>
        <v>6.746376714871877</v>
      </c>
      <c r="H215" s="63">
        <f t="shared" si="34"/>
        <v>7.4569713096181829</v>
      </c>
      <c r="I215" s="63">
        <f t="shared" si="34"/>
        <v>8.7222561647025696</v>
      </c>
      <c r="J215" s="84">
        <f t="shared" si="30"/>
        <v>5.9420882438268974</v>
      </c>
      <c r="K215" s="256"/>
      <c r="L215" s="257"/>
      <c r="M215" s="257"/>
      <c r="N215" s="257"/>
      <c r="O215" s="257"/>
      <c r="P215" s="257"/>
      <c r="Q215" s="257"/>
      <c r="R215" s="258"/>
    </row>
    <row r="216" spans="1:18" s="91" customFormat="1" ht="15" customHeight="1" thickBot="1" x14ac:dyDescent="0.3">
      <c r="A216" s="261" t="s">
        <v>116</v>
      </c>
      <c r="B216" s="262"/>
      <c r="C216" s="88">
        <f>0.15*C210+0.85*C211</f>
        <v>3.1464572723240924</v>
      </c>
      <c r="D216" s="88">
        <f t="shared" ref="D216:I216" si="35">0.15*D210+0.85*D211</f>
        <v>4.4536848408705279</v>
      </c>
      <c r="E216" s="88">
        <f t="shared" si="35"/>
        <v>5.3620983704652492</v>
      </c>
      <c r="F216" s="88">
        <f t="shared" si="35"/>
        <v>6.2351249921569503</v>
      </c>
      <c r="G216" s="88">
        <f t="shared" si="35"/>
        <v>7.02957591986923</v>
      </c>
      <c r="H216" s="88">
        <f t="shared" si="35"/>
        <v>7.7923628255917059</v>
      </c>
      <c r="I216" s="88">
        <f t="shared" si="35"/>
        <v>9.1485831174215377</v>
      </c>
      <c r="J216" s="89">
        <f t="shared" si="30"/>
        <v>6.1668410483856135</v>
      </c>
      <c r="K216" s="263"/>
      <c r="L216" s="264"/>
      <c r="M216" s="264"/>
      <c r="N216" s="264"/>
      <c r="O216" s="264"/>
      <c r="P216" s="265"/>
      <c r="Q216" s="266" t="s">
        <v>0</v>
      </c>
      <c r="R216" s="267"/>
    </row>
    <row r="217" spans="1:18" s="91" customFormat="1" ht="15" customHeight="1" thickBot="1" x14ac:dyDescent="0.3">
      <c r="A217" s="90">
        <v>7</v>
      </c>
      <c r="B217" s="124" t="s">
        <v>117</v>
      </c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</row>
    <row r="218" spans="1:18" s="91" customFormat="1" ht="15" customHeight="1" thickBot="1" x14ac:dyDescent="0.3">
      <c r="A218" s="127" t="s">
        <v>0</v>
      </c>
      <c r="B218" s="128"/>
      <c r="C218" s="128"/>
      <c r="D218" s="128"/>
      <c r="E218" s="129"/>
      <c r="F218" s="130" t="s">
        <v>1</v>
      </c>
      <c r="G218" s="131"/>
      <c r="H218" s="132"/>
      <c r="I218" s="1" t="str">
        <f>CONCATENATE(B220,".04")</f>
        <v>1069.04</v>
      </c>
      <c r="J218" s="2" t="s">
        <v>2</v>
      </c>
      <c r="K218" s="133" t="s">
        <v>3</v>
      </c>
      <c r="L218" s="134"/>
      <c r="M218" s="135"/>
      <c r="N218" s="3" t="str">
        <f>I218</f>
        <v>1069.04</v>
      </c>
      <c r="O218" s="136" t="s">
        <v>4</v>
      </c>
      <c r="P218" s="137"/>
      <c r="Q218" s="138"/>
      <c r="R218" s="4" t="s">
        <v>5</v>
      </c>
    </row>
    <row r="219" spans="1:18" s="91" customFormat="1" ht="15" customHeight="1" x14ac:dyDescent="0.25">
      <c r="A219" s="139" t="s">
        <v>144</v>
      </c>
      <c r="B219" s="140"/>
      <c r="C219" s="141"/>
      <c r="D219" s="142" t="s">
        <v>6</v>
      </c>
      <c r="E219" s="143"/>
      <c r="F219" s="144" t="s">
        <v>7</v>
      </c>
      <c r="G219" s="145"/>
      <c r="H219" s="145"/>
      <c r="I219" s="145"/>
      <c r="J219" s="146"/>
      <c r="K219" s="147" t="s">
        <v>8</v>
      </c>
      <c r="L219" s="148"/>
      <c r="M219" s="148"/>
      <c r="N219" s="149"/>
      <c r="O219" s="150" t="s">
        <v>9</v>
      </c>
      <c r="P219" s="151"/>
      <c r="Q219" s="151"/>
      <c r="R219" s="152"/>
    </row>
    <row r="220" spans="1:18" s="91" customFormat="1" ht="15" customHeight="1" x14ac:dyDescent="0.25">
      <c r="A220" s="5" t="s">
        <v>10</v>
      </c>
      <c r="B220" s="6">
        <v>1069</v>
      </c>
      <c r="C220" s="7"/>
      <c r="D220" s="157">
        <f>INT(457468*H234^(-1.475))</f>
        <v>25</v>
      </c>
      <c r="E220" s="158"/>
      <c r="F220" s="8" t="s">
        <v>11</v>
      </c>
      <c r="G220" s="9"/>
      <c r="H220" s="159" t="s">
        <v>145</v>
      </c>
      <c r="I220" s="160"/>
      <c r="J220" s="161"/>
      <c r="K220" s="10" t="s">
        <v>12</v>
      </c>
      <c r="L220" s="11">
        <v>1684</v>
      </c>
      <c r="M220" s="290"/>
      <c r="N220" s="291"/>
      <c r="O220" s="12" t="s">
        <v>13</v>
      </c>
      <c r="P220" s="13" t="s">
        <v>146</v>
      </c>
      <c r="Q220" s="14" t="s">
        <v>14</v>
      </c>
      <c r="R220" s="15">
        <v>8</v>
      </c>
    </row>
    <row r="221" spans="1:18" s="91" customFormat="1" ht="15" customHeight="1" x14ac:dyDescent="0.25">
      <c r="A221" s="164"/>
      <c r="B221" s="165"/>
      <c r="C221" s="16"/>
      <c r="D221" s="157" t="s">
        <v>217</v>
      </c>
      <c r="E221" s="158"/>
      <c r="F221" s="166" t="s">
        <v>15</v>
      </c>
      <c r="G221" s="167"/>
      <c r="H221" s="159" t="s">
        <v>147</v>
      </c>
      <c r="I221" s="160"/>
      <c r="J221" s="161"/>
      <c r="K221" s="10" t="s">
        <v>16</v>
      </c>
      <c r="L221" s="19">
        <v>7.6529999999999996</v>
      </c>
      <c r="M221" s="18" t="s">
        <v>17</v>
      </c>
      <c r="N221" s="19">
        <v>2.7570000000000001</v>
      </c>
      <c r="O221" s="20" t="s">
        <v>18</v>
      </c>
      <c r="P221" s="21">
        <v>24</v>
      </c>
      <c r="Q221" s="22" t="s">
        <v>19</v>
      </c>
      <c r="R221" s="23">
        <v>5</v>
      </c>
    </row>
    <row r="222" spans="1:18" s="91" customFormat="1" ht="15" customHeight="1" x14ac:dyDescent="0.25">
      <c r="A222" s="174" t="s">
        <v>20</v>
      </c>
      <c r="B222" s="175"/>
      <c r="C222" s="176"/>
      <c r="D222" s="125" t="s">
        <v>21</v>
      </c>
      <c r="E222" s="126"/>
      <c r="F222" s="166" t="s">
        <v>22</v>
      </c>
      <c r="G222" s="167"/>
      <c r="H222" s="159" t="s">
        <v>148</v>
      </c>
      <c r="I222" s="160"/>
      <c r="J222" s="161"/>
      <c r="K222" s="10" t="s">
        <v>23</v>
      </c>
      <c r="L222" s="19">
        <v>0.75</v>
      </c>
      <c r="M222" s="18" t="s">
        <v>24</v>
      </c>
      <c r="N222" s="19">
        <v>0.32</v>
      </c>
      <c r="O222" s="20" t="s">
        <v>25</v>
      </c>
      <c r="P222" s="21"/>
      <c r="Q222" s="22" t="s">
        <v>26</v>
      </c>
      <c r="R222" s="23"/>
    </row>
    <row r="223" spans="1:18" s="91" customFormat="1" ht="15" customHeight="1" thickBot="1" x14ac:dyDescent="0.3">
      <c r="A223" s="174" t="s">
        <v>27</v>
      </c>
      <c r="B223" s="175"/>
      <c r="C223" s="176"/>
      <c r="D223" s="177" t="s">
        <v>28</v>
      </c>
      <c r="E223" s="149"/>
      <c r="F223" s="224" t="s">
        <v>29</v>
      </c>
      <c r="G223" s="225"/>
      <c r="H223" s="173">
        <v>2012</v>
      </c>
      <c r="I223" s="178"/>
      <c r="J223" s="226"/>
      <c r="K223" s="24" t="s">
        <v>30</v>
      </c>
      <c r="L223" s="19">
        <v>0.56000000000000005</v>
      </c>
      <c r="M223" s="25" t="s">
        <v>31</v>
      </c>
      <c r="N223" s="19">
        <v>0.32</v>
      </c>
      <c r="O223" s="26" t="s">
        <v>32</v>
      </c>
      <c r="P223" s="27">
        <v>25</v>
      </c>
      <c r="Q223" s="28" t="s">
        <v>33</v>
      </c>
      <c r="R223" s="29"/>
    </row>
    <row r="224" spans="1:18" s="91" customFormat="1" ht="15" customHeight="1" x14ac:dyDescent="0.25">
      <c r="A224" s="174" t="s">
        <v>34</v>
      </c>
      <c r="B224" s="175"/>
      <c r="C224" s="176"/>
      <c r="D224" s="177" t="s">
        <v>35</v>
      </c>
      <c r="E224" s="149"/>
      <c r="F224" s="166" t="s">
        <v>36</v>
      </c>
      <c r="G224" s="167"/>
      <c r="H224" s="173" t="s">
        <v>122</v>
      </c>
      <c r="I224" s="178"/>
      <c r="J224" s="179"/>
      <c r="K224" s="180" t="s">
        <v>37</v>
      </c>
      <c r="L224" s="181"/>
      <c r="M224" s="181"/>
      <c r="N224" s="181"/>
      <c r="O224" s="181"/>
      <c r="P224" s="181"/>
      <c r="Q224" s="181"/>
      <c r="R224" s="182"/>
    </row>
    <row r="225" spans="1:18" s="91" customFormat="1" ht="15" customHeight="1" x14ac:dyDescent="0.25">
      <c r="A225" s="147" t="s">
        <v>35</v>
      </c>
      <c r="B225" s="148"/>
      <c r="C225" s="183"/>
      <c r="D225" s="184"/>
      <c r="E225" s="185"/>
      <c r="F225" s="166" t="s">
        <v>38</v>
      </c>
      <c r="G225" s="167"/>
      <c r="H225" s="186"/>
      <c r="I225" s="186"/>
      <c r="J225" s="30">
        <f>IF(H226="Подвесной мотор",0,IF(H225="Литой",0.005,0))</f>
        <v>0</v>
      </c>
      <c r="K225" s="31" t="s">
        <v>39</v>
      </c>
      <c r="L225" s="92">
        <v>5</v>
      </c>
      <c r="M225" s="33" t="s">
        <v>40</v>
      </c>
      <c r="N225" s="93">
        <v>3.5000000000000003E-2</v>
      </c>
      <c r="O225" s="94" t="s">
        <v>41</v>
      </c>
      <c r="P225" s="61">
        <f>L225*L229*N230*0.0175/N225</f>
        <v>24.837102242510191</v>
      </c>
      <c r="Q225" s="187"/>
      <c r="R225" s="188"/>
    </row>
    <row r="226" spans="1:18" s="91" customFormat="1" ht="15" customHeight="1" thickBot="1" x14ac:dyDescent="0.3">
      <c r="A226" s="168"/>
      <c r="B226" s="169"/>
      <c r="C226" s="170"/>
      <c r="D226" s="171"/>
      <c r="E226" s="172"/>
      <c r="F226" s="166" t="s">
        <v>42</v>
      </c>
      <c r="G226" s="167"/>
      <c r="H226" s="173" t="s">
        <v>142</v>
      </c>
      <c r="I226" s="173"/>
      <c r="J226" s="30">
        <f>IF(H226="Без двигателя",1,IF(H226="Подвесной мотор",0.995,IF(H226="Привод в кронштейне",0.99,IF(H226="Открытый вал",0.98,IF(H226="Закрытый вал",0.97,IF(H226="В вырезе",0.96,"Установка ? "))))))</f>
        <v>0.995</v>
      </c>
      <c r="K226" s="31" t="s">
        <v>43</v>
      </c>
      <c r="L226" s="92">
        <v>10.5</v>
      </c>
      <c r="M226" s="33" t="s">
        <v>44</v>
      </c>
      <c r="N226" s="93">
        <v>7.0999999999999994E-2</v>
      </c>
      <c r="O226" s="94" t="s">
        <v>45</v>
      </c>
      <c r="P226" s="61">
        <f>L226*L229*N230*0.0175/N226</f>
        <v>25.71164809611971</v>
      </c>
      <c r="Q226" s="189"/>
      <c r="R226" s="190"/>
    </row>
    <row r="227" spans="1:18" s="91" customFormat="1" ht="15" customHeight="1" x14ac:dyDescent="0.25">
      <c r="A227" s="36"/>
      <c r="B227" s="37"/>
      <c r="C227" s="37"/>
      <c r="D227" s="37"/>
      <c r="E227" s="37"/>
      <c r="F227" s="144" t="s">
        <v>46</v>
      </c>
      <c r="G227" s="153"/>
      <c r="H227" s="154"/>
      <c r="I227" s="155"/>
      <c r="J227" s="156"/>
      <c r="K227" s="38" t="s">
        <v>47</v>
      </c>
      <c r="L227" s="92">
        <v>15.6</v>
      </c>
      <c r="M227" s="33" t="s">
        <v>48</v>
      </c>
      <c r="N227" s="93">
        <v>0.104</v>
      </c>
      <c r="O227" s="94" t="s">
        <v>49</v>
      </c>
      <c r="P227" s="61">
        <f>L227*L229*N230*0.0175/N227</f>
        <v>26.078957354635708</v>
      </c>
      <c r="Q227" s="189"/>
      <c r="R227" s="190"/>
    </row>
    <row r="228" spans="1:18" s="91" customFormat="1" ht="15" customHeight="1" x14ac:dyDescent="0.25">
      <c r="A228" s="36"/>
      <c r="B228" s="37"/>
      <c r="C228" s="37"/>
      <c r="D228" s="37"/>
      <c r="E228" s="37"/>
      <c r="F228" s="39"/>
      <c r="G228" s="37"/>
      <c r="H228" s="37"/>
      <c r="I228" s="37"/>
      <c r="J228" s="37"/>
      <c r="K228" s="38" t="s">
        <v>50</v>
      </c>
      <c r="L228" s="95">
        <v>20.7</v>
      </c>
      <c r="M228" s="33" t="s">
        <v>51</v>
      </c>
      <c r="N228" s="93">
        <v>0.13900000000000001</v>
      </c>
      <c r="O228" s="94" t="s">
        <v>52</v>
      </c>
      <c r="P228" s="61">
        <f>L228*L229*N230*0.0175/N228</f>
        <v>25.891338956400908</v>
      </c>
      <c r="Q228" s="189"/>
      <c r="R228" s="190"/>
    </row>
    <row r="229" spans="1:18" s="91" customFormat="1" ht="15" customHeight="1" x14ac:dyDescent="0.25">
      <c r="A229" s="197" t="s">
        <v>53</v>
      </c>
      <c r="B229" s="198"/>
      <c r="C229" s="41"/>
      <c r="D229" s="41"/>
      <c r="E229" s="41"/>
      <c r="F229" s="42"/>
      <c r="G229" s="41"/>
      <c r="H229" s="41"/>
      <c r="I229" s="41"/>
      <c r="J229" s="41"/>
      <c r="K229" s="31" t="s">
        <v>54</v>
      </c>
      <c r="L229" s="43">
        <v>6.62</v>
      </c>
      <c r="M229" s="33" t="s">
        <v>55</v>
      </c>
      <c r="N229" s="34">
        <v>1.5049999999999999</v>
      </c>
      <c r="O229" s="18" t="s">
        <v>56</v>
      </c>
      <c r="P229" s="96">
        <f>AVERAGE(P225:P228)</f>
        <v>25.629761662416627</v>
      </c>
      <c r="Q229" s="189"/>
      <c r="R229" s="190"/>
    </row>
    <row r="230" spans="1:18" s="91" customFormat="1" ht="15" customHeight="1" x14ac:dyDescent="0.25">
      <c r="A230" s="199" t="s">
        <v>149</v>
      </c>
      <c r="B230" s="200"/>
      <c r="C230" s="200"/>
      <c r="D230" s="200"/>
      <c r="E230" s="200"/>
      <c r="F230" s="200"/>
      <c r="G230" s="200"/>
      <c r="H230" s="200"/>
      <c r="I230" s="200"/>
      <c r="J230" s="201"/>
      <c r="K230" s="45" t="s">
        <v>57</v>
      </c>
      <c r="L230" s="34">
        <v>6.4000000000000001E-2</v>
      </c>
      <c r="M230" s="33" t="s">
        <v>58</v>
      </c>
      <c r="N230" s="46">
        <f>N229/(1+L230/L231)</f>
        <v>1.5007312533238786</v>
      </c>
      <c r="O230" s="47" t="s">
        <v>59</v>
      </c>
      <c r="P230" s="48">
        <f>3.281*((0.03*B234*B235^3*1025.8-54*P229)/L220-0.0625*B234)+0.25</f>
        <v>-0.13890137758632831</v>
      </c>
      <c r="Q230" s="191"/>
      <c r="R230" s="192"/>
    </row>
    <row r="231" spans="1:18" s="91" customFormat="1" ht="15" customHeight="1" thickBot="1" x14ac:dyDescent="0.3">
      <c r="A231" s="292" t="s">
        <v>150</v>
      </c>
      <c r="B231" s="293"/>
      <c r="C231" s="293"/>
      <c r="D231" s="293"/>
      <c r="E231" s="293"/>
      <c r="F231" s="293"/>
      <c r="G231" s="293"/>
      <c r="H231" s="293"/>
      <c r="I231" s="293"/>
      <c r="J231" s="294"/>
      <c r="K231" s="49" t="s">
        <v>60</v>
      </c>
      <c r="L231" s="50">
        <v>22.5</v>
      </c>
      <c r="M231" s="205" t="s">
        <v>61</v>
      </c>
      <c r="N231" s="206"/>
      <c r="O231" s="206"/>
      <c r="P231" s="207"/>
      <c r="Q231" s="208">
        <v>40727</v>
      </c>
      <c r="R231" s="208"/>
    </row>
    <row r="232" spans="1:18" s="91" customFormat="1" ht="15" customHeight="1" x14ac:dyDescent="0.25">
      <c r="A232" s="209" t="s">
        <v>62</v>
      </c>
      <c r="B232" s="210"/>
      <c r="C232" s="210"/>
      <c r="D232" s="210"/>
      <c r="E232" s="210"/>
      <c r="F232" s="210"/>
      <c r="G232" s="210"/>
      <c r="H232" s="210"/>
      <c r="I232" s="210"/>
      <c r="J232" s="211"/>
      <c r="K232" s="180" t="s">
        <v>63</v>
      </c>
      <c r="L232" s="181"/>
      <c r="M232" s="181"/>
      <c r="N232" s="181"/>
      <c r="O232" s="181"/>
      <c r="P232" s="181"/>
      <c r="Q232" s="181"/>
      <c r="R232" s="182"/>
    </row>
    <row r="233" spans="1:18" s="91" customFormat="1" ht="15" customHeight="1" x14ac:dyDescent="0.25">
      <c r="A233" s="242" t="s">
        <v>64</v>
      </c>
      <c r="B233" s="243"/>
      <c r="C233" s="244" t="s">
        <v>65</v>
      </c>
      <c r="D233" s="245"/>
      <c r="E233" s="246" t="s">
        <v>66</v>
      </c>
      <c r="F233" s="247"/>
      <c r="G233" s="142" t="s">
        <v>67</v>
      </c>
      <c r="H233" s="250"/>
      <c r="I233" s="250"/>
      <c r="J233" s="143"/>
      <c r="K233" s="193" t="s">
        <v>68</v>
      </c>
      <c r="L233" s="194"/>
      <c r="M233" s="195" t="s">
        <v>69</v>
      </c>
      <c r="N233" s="196"/>
      <c r="O233" s="227" t="s">
        <v>70</v>
      </c>
      <c r="P233" s="194"/>
      <c r="Q233" s="195" t="s">
        <v>71</v>
      </c>
      <c r="R233" s="228"/>
    </row>
    <row r="234" spans="1:18" s="91" customFormat="1" ht="15" customHeight="1" x14ac:dyDescent="0.25">
      <c r="A234" s="10" t="s">
        <v>72</v>
      </c>
      <c r="B234" s="44">
        <f>L221-L222-L223</f>
        <v>6.343</v>
      </c>
      <c r="C234" s="51" t="s">
        <v>73</v>
      </c>
      <c r="D234" s="52">
        <f>0.125*L234*(L236+2*L237+3*L238+2*L235)</f>
        <v>16.938225000000003</v>
      </c>
      <c r="E234" s="248"/>
      <c r="F234" s="249"/>
      <c r="G234" s="53" t="s">
        <v>74</v>
      </c>
      <c r="H234" s="54">
        <f>3600/(0.5*( D243+F243))</f>
        <v>756.83334335649317</v>
      </c>
      <c r="I234" s="55" t="s">
        <v>75</v>
      </c>
      <c r="J234" s="56">
        <f>I241</f>
        <v>5.4905961181282406</v>
      </c>
      <c r="K234" s="10" t="s">
        <v>76</v>
      </c>
      <c r="L234" s="57">
        <v>9.07</v>
      </c>
      <c r="M234" s="18" t="s">
        <v>77</v>
      </c>
      <c r="N234" s="57">
        <v>8.67</v>
      </c>
      <c r="O234" s="18" t="s">
        <v>78</v>
      </c>
      <c r="P234" s="58">
        <v>9.07</v>
      </c>
      <c r="Q234" s="18" t="s">
        <v>79</v>
      </c>
      <c r="R234" s="59"/>
    </row>
    <row r="235" spans="1:18" s="91" customFormat="1" ht="15" customHeight="1" x14ac:dyDescent="0.25">
      <c r="A235" s="10" t="s">
        <v>80</v>
      </c>
      <c r="B235" s="44">
        <f>N221-N222-N223</f>
        <v>2.1170000000000004</v>
      </c>
      <c r="C235" s="18" t="s">
        <v>81</v>
      </c>
      <c r="D235" s="52">
        <f>N234*N235*0.5</f>
        <v>16.342949999999998</v>
      </c>
      <c r="E235" s="60" t="s">
        <v>82</v>
      </c>
      <c r="F235" s="61">
        <f>0.85*B234*B235</f>
        <v>11.413911350000001</v>
      </c>
      <c r="G235" s="62" t="s">
        <v>83</v>
      </c>
      <c r="H235" s="63">
        <f>3600/H234</f>
        <v>4.7566614653026491</v>
      </c>
      <c r="I235" s="64" t="s">
        <v>84</v>
      </c>
      <c r="J235" s="56">
        <f>I242</f>
        <v>9.8735610282608217</v>
      </c>
      <c r="K235" s="65" t="s">
        <v>85</v>
      </c>
      <c r="L235" s="57">
        <v>3.22</v>
      </c>
      <c r="M235" s="18" t="s">
        <v>86</v>
      </c>
      <c r="N235" s="57">
        <v>3.77</v>
      </c>
      <c r="O235" s="18" t="s">
        <v>87</v>
      </c>
      <c r="P235" s="58">
        <v>4.59</v>
      </c>
      <c r="Q235" s="18" t="s">
        <v>88</v>
      </c>
      <c r="R235" s="59"/>
    </row>
    <row r="236" spans="1:18" s="91" customFormat="1" ht="15" customHeight="1" x14ac:dyDescent="0.25">
      <c r="A236" s="66" t="s">
        <v>89</v>
      </c>
      <c r="B236" s="67">
        <f>IF(H223&gt;2012,1,IF(H223&gt;2008,0.995,0.99))</f>
        <v>0.995</v>
      </c>
      <c r="C236" s="18" t="s">
        <v>90</v>
      </c>
      <c r="D236" s="52">
        <f>IF(   P236="0",0.8*P234*P235, 0.5*P236*P234+2*(P235-0.5*P236)*P234/3)</f>
        <v>34.964849999999998</v>
      </c>
      <c r="E236" s="68"/>
      <c r="F236" s="69"/>
      <c r="G236" s="69"/>
      <c r="H236" s="69"/>
      <c r="I236" s="70"/>
      <c r="J236" s="71"/>
      <c r="K236" s="10" t="s">
        <v>91</v>
      </c>
      <c r="L236" s="72">
        <v>0.15</v>
      </c>
      <c r="M236" s="227"/>
      <c r="N236" s="194"/>
      <c r="O236" s="18" t="s">
        <v>92</v>
      </c>
      <c r="P236" s="73">
        <v>4.7699999999999996</v>
      </c>
      <c r="Q236" s="18" t="s">
        <v>93</v>
      </c>
      <c r="R236" s="59"/>
    </row>
    <row r="237" spans="1:18" s="91" customFormat="1" ht="15" customHeight="1" x14ac:dyDescent="0.25">
      <c r="A237" s="10" t="s">
        <v>94</v>
      </c>
      <c r="B237" s="35">
        <f>J226-J225</f>
        <v>0.995</v>
      </c>
      <c r="C237" s="18" t="s">
        <v>95</v>
      </c>
      <c r="D237" s="52">
        <f>(0.5*(R234+R235)*(R236+4*R237))/6</f>
        <v>0</v>
      </c>
      <c r="E237" s="74"/>
      <c r="F237" s="74"/>
      <c r="G237" s="74"/>
      <c r="H237" s="74"/>
      <c r="I237" s="74"/>
      <c r="J237" s="74"/>
      <c r="K237" s="10" t="s">
        <v>96</v>
      </c>
      <c r="L237" s="75">
        <v>1.1599999999999999</v>
      </c>
      <c r="M237" s="187"/>
      <c r="N237" s="229"/>
      <c r="O237" s="229"/>
      <c r="P237" s="230"/>
      <c r="Q237" s="18" t="s">
        <v>97</v>
      </c>
      <c r="R237" s="59"/>
    </row>
    <row r="238" spans="1:18" s="91" customFormat="1" ht="15" customHeight="1" x14ac:dyDescent="0.25">
      <c r="A238" s="10" t="s">
        <v>98</v>
      </c>
      <c r="B238" s="67">
        <f>IF(H224="шверт",1.005,1)</f>
        <v>1</v>
      </c>
      <c r="C238" s="16" t="s">
        <v>99</v>
      </c>
      <c r="D238" s="76">
        <f>D234+MAX(D236,D235,D237)</f>
        <v>51.903075000000001</v>
      </c>
      <c r="E238" s="77"/>
      <c r="F238" s="78"/>
      <c r="G238" s="78"/>
      <c r="H238" s="78"/>
      <c r="I238" s="78"/>
      <c r="J238" s="78"/>
      <c r="K238" s="10" t="s">
        <v>100</v>
      </c>
      <c r="L238" s="75">
        <v>2.0099999999999998</v>
      </c>
      <c r="M238" s="191"/>
      <c r="N238" s="231"/>
      <c r="O238" s="231"/>
      <c r="P238" s="232"/>
      <c r="Q238" s="227"/>
      <c r="R238" s="233"/>
    </row>
    <row r="239" spans="1:18" s="91" customFormat="1" ht="15" customHeight="1" x14ac:dyDescent="0.25">
      <c r="A239" s="234"/>
      <c r="B239" s="235"/>
      <c r="C239" s="16" t="s">
        <v>101</v>
      </c>
      <c r="D239" s="79">
        <f>D234+D235</f>
        <v>33.281175000000005</v>
      </c>
      <c r="E239" s="236" t="s">
        <v>102</v>
      </c>
      <c r="F239" s="237"/>
      <c r="G239" s="237"/>
      <c r="H239" s="237"/>
      <c r="I239" s="238"/>
      <c r="J239" s="80" t="s">
        <v>103</v>
      </c>
      <c r="K239" s="239"/>
      <c r="L239" s="240"/>
      <c r="M239" s="240"/>
      <c r="N239" s="240"/>
      <c r="O239" s="240"/>
      <c r="P239" s="240"/>
      <c r="Q239" s="240"/>
      <c r="R239" s="241"/>
    </row>
    <row r="240" spans="1:18" s="91" customFormat="1" ht="15" customHeight="1" thickBot="1" x14ac:dyDescent="0.3">
      <c r="A240" s="212" t="s">
        <v>104</v>
      </c>
      <c r="B240" s="213"/>
      <c r="C240" s="81">
        <v>6</v>
      </c>
      <c r="D240" s="81">
        <v>8</v>
      </c>
      <c r="E240" s="81">
        <v>10</v>
      </c>
      <c r="F240" s="81">
        <v>12</v>
      </c>
      <c r="G240" s="81">
        <v>14</v>
      </c>
      <c r="H240" s="81">
        <v>16</v>
      </c>
      <c r="I240" s="82">
        <v>20</v>
      </c>
      <c r="J240" s="97">
        <f>AVERAGE(J241:J247)</f>
        <v>5.3954312588204019</v>
      </c>
      <c r="K240" s="164" t="s">
        <v>105</v>
      </c>
      <c r="L240" s="165"/>
      <c r="M240" s="214" t="str">
        <f>IF(P230&gt;-0.25,"SV непригодно для категории гонок 0,1,2 и3"," ")</f>
        <v>SV непригодно для категории гонок 0,1,2 и3</v>
      </c>
      <c r="N240" s="215"/>
      <c r="O240" s="215"/>
      <c r="P240" s="215"/>
      <c r="Q240" s="215"/>
      <c r="R240" s="216"/>
    </row>
    <row r="241" spans="1:18" s="91" customFormat="1" ht="15" customHeight="1" x14ac:dyDescent="0.25">
      <c r="A241" s="217" t="s">
        <v>106</v>
      </c>
      <c r="B241" s="218"/>
      <c r="C241" s="63">
        <f>SQRT(C240/I240)*I241</f>
        <v>3.007323348049137</v>
      </c>
      <c r="D241" s="63">
        <f>SQRT(D240/I240)*I241</f>
        <v>3.4725578890728319</v>
      </c>
      <c r="E241" s="63">
        <f>SQRT(E240/I240)*I241</f>
        <v>3.8824377478850134</v>
      </c>
      <c r="F241" s="63">
        <f>SQRT(F240/I240)*I241</f>
        <v>4.2529974652523537</v>
      </c>
      <c r="G241" s="63">
        <f>SQRT(G240/I240)*I241</f>
        <v>4.5937622938810661</v>
      </c>
      <c r="H241" s="63">
        <f>SQRT(H240/I240)*I241</f>
        <v>4.9109384628524841</v>
      </c>
      <c r="I241" s="63">
        <f>(D239^(0.25)/((0.001*L220)^(1/6)))*(SQRT(B234)*B236*B237)</f>
        <v>5.4905961181282406</v>
      </c>
      <c r="J241" s="84">
        <f t="shared" ref="J241:J247" si="36">AVERAGE(C241:I241)</f>
        <v>4.2300876178744469</v>
      </c>
      <c r="K241" s="219" t="s">
        <v>107</v>
      </c>
      <c r="L241" s="220"/>
      <c r="M241" s="221" t="s">
        <v>151</v>
      </c>
      <c r="N241" s="222"/>
      <c r="O241" s="222"/>
      <c r="P241" s="222"/>
      <c r="Q241" s="222"/>
      <c r="R241" s="223"/>
    </row>
    <row r="242" spans="1:18" s="91" customFormat="1" ht="15" customHeight="1" x14ac:dyDescent="0.25">
      <c r="A242" s="217" t="s">
        <v>108</v>
      </c>
      <c r="B242" s="218"/>
      <c r="C242" s="63">
        <f>SQRT(C240/I240)*SQRT(D238/(SQRT(0.69)*F235))*SQRT(B234)*B236*B237*B238</f>
        <v>3.1953701106387005</v>
      </c>
      <c r="D242" s="63">
        <f>SQRT(D240/I240)*SQRT(D238/(0.52*F235))*SQRT(B234)*B236*B237*B238</f>
        <v>4.663383563618007</v>
      </c>
      <c r="E242" s="63">
        <f>SQRT(E240/I240)*SQRT(D238/(0.44*F235))*SQRT(B234)*B236*B237*B238</f>
        <v>5.6680213538774398</v>
      </c>
      <c r="F242" s="63">
        <f>SQRT(F240/I240)*SQRT(D238/(0.385*F235))*SQRT(B234)*B236*B237*B238</f>
        <v>6.6377069432674034</v>
      </c>
      <c r="G242" s="63">
        <f>SQRT(G240/I240)*SQRT(D238/(0.35*F235))*SQRT(B234)*B236*B237*B238</f>
        <v>7.5194800538134769</v>
      </c>
      <c r="H242" s="63">
        <f>SQRT(H240/I240)*SQRT(D238/(0.323*F235))*SQRT(B234)*B236*B237*B238</f>
        <v>8.3679012448886443</v>
      </c>
      <c r="I242" s="63">
        <f>SQRT(D238/(0.29*F235))*SQRT(B234)*B236*B237*B238</f>
        <v>9.8735610282608217</v>
      </c>
      <c r="J242" s="84">
        <f t="shared" si="36"/>
        <v>6.5607748997663569</v>
      </c>
      <c r="K242" s="85" t="s">
        <v>109</v>
      </c>
      <c r="L242" s="86"/>
      <c r="M242" s="87">
        <v>41475</v>
      </c>
      <c r="N242" s="268"/>
      <c r="O242" s="269"/>
      <c r="P242" s="269"/>
      <c r="Q242" s="269"/>
      <c r="R242" s="270"/>
    </row>
    <row r="243" spans="1:18" s="91" customFormat="1" ht="15" customHeight="1" x14ac:dyDescent="0.25">
      <c r="A243" s="251" t="s">
        <v>110</v>
      </c>
      <c r="B243" s="252"/>
      <c r="C243" s="63">
        <f>0.5*(C241+C242)</f>
        <v>3.101346729343919</v>
      </c>
      <c r="D243" s="63">
        <f t="shared" ref="D243:I243" si="37">0.5*(D241+D242)</f>
        <v>4.0679707263454192</v>
      </c>
      <c r="E243" s="63">
        <f t="shared" si="37"/>
        <v>4.7752295508812264</v>
      </c>
      <c r="F243" s="63">
        <f t="shared" si="37"/>
        <v>5.4453522042598781</v>
      </c>
      <c r="G243" s="63">
        <f t="shared" si="37"/>
        <v>6.0566211738472715</v>
      </c>
      <c r="H243" s="63">
        <f t="shared" si="37"/>
        <v>6.6394198538705638</v>
      </c>
      <c r="I243" s="63">
        <f t="shared" si="37"/>
        <v>7.6820785731945307</v>
      </c>
      <c r="J243" s="84">
        <f t="shared" si="36"/>
        <v>5.395431258820401</v>
      </c>
      <c r="K243" s="166" t="s">
        <v>111</v>
      </c>
      <c r="L243" s="167"/>
      <c r="M243" s="87">
        <v>41485</v>
      </c>
      <c r="N243" s="271"/>
      <c r="O243" s="272"/>
      <c r="P243" s="272"/>
      <c r="Q243" s="272"/>
      <c r="R243" s="273"/>
    </row>
    <row r="244" spans="1:18" s="91" customFormat="1" ht="15" customHeight="1" x14ac:dyDescent="0.25">
      <c r="A244" s="251" t="s">
        <v>112</v>
      </c>
      <c r="B244" s="252"/>
      <c r="C244" s="63">
        <f>0.85*C241+0.15*C242</f>
        <v>3.0355303624375711</v>
      </c>
      <c r="D244" s="63">
        <f t="shared" ref="D244:I244" si="38">0.85*D241+0.15*D242</f>
        <v>3.6511817402546081</v>
      </c>
      <c r="E244" s="63">
        <f t="shared" si="38"/>
        <v>4.1502752887838774</v>
      </c>
      <c r="F244" s="63">
        <f t="shared" si="38"/>
        <v>4.6107038869546111</v>
      </c>
      <c r="G244" s="63">
        <f t="shared" si="38"/>
        <v>5.0326199578709279</v>
      </c>
      <c r="H244" s="63">
        <f t="shared" si="38"/>
        <v>5.4294828801579076</v>
      </c>
      <c r="I244" s="63">
        <f t="shared" si="38"/>
        <v>6.1480408546481273</v>
      </c>
      <c r="J244" s="84">
        <f t="shared" si="36"/>
        <v>4.5796907101582329</v>
      </c>
      <c r="K244" s="224" t="s">
        <v>113</v>
      </c>
      <c r="L244" s="225"/>
      <c r="M244" s="184"/>
      <c r="N244" s="274"/>
      <c r="O244" s="274"/>
      <c r="P244" s="274"/>
      <c r="Q244" s="274"/>
      <c r="R244" s="185"/>
    </row>
    <row r="245" spans="1:18" s="91" customFormat="1" ht="15" customHeight="1" x14ac:dyDescent="0.25">
      <c r="A245" s="251" t="s">
        <v>114</v>
      </c>
      <c r="B245" s="252"/>
      <c r="C245" s="63">
        <f>0.75*C241+0.25*C242</f>
        <v>3.0543350386965278</v>
      </c>
      <c r="D245" s="63">
        <f t="shared" ref="D245:I245" si="39">0.75*D241+0.25*D242</f>
        <v>3.7702643077091258</v>
      </c>
      <c r="E245" s="63">
        <f t="shared" si="39"/>
        <v>4.3288336493831201</v>
      </c>
      <c r="F245" s="63">
        <f t="shared" si="39"/>
        <v>4.8491748347561163</v>
      </c>
      <c r="G245" s="63">
        <f t="shared" si="39"/>
        <v>5.3251917338641688</v>
      </c>
      <c r="H245" s="63">
        <f t="shared" si="39"/>
        <v>5.7751791583615244</v>
      </c>
      <c r="I245" s="63">
        <f t="shared" si="39"/>
        <v>6.5863373456613861</v>
      </c>
      <c r="J245" s="84">
        <f t="shared" si="36"/>
        <v>4.8127594383474248</v>
      </c>
      <c r="K245" s="253"/>
      <c r="L245" s="254"/>
      <c r="M245" s="254"/>
      <c r="N245" s="254"/>
      <c r="O245" s="254"/>
      <c r="P245" s="254"/>
      <c r="Q245" s="254"/>
      <c r="R245" s="255"/>
    </row>
    <row r="246" spans="1:18" s="91" customFormat="1" ht="15" customHeight="1" x14ac:dyDescent="0.25">
      <c r="A246" s="259" t="s">
        <v>115</v>
      </c>
      <c r="B246" s="260"/>
      <c r="C246" s="63">
        <f>0.25*C241+0.75*C242</f>
        <v>3.1483584199913097</v>
      </c>
      <c r="D246" s="63">
        <f t="shared" ref="D246:I246" si="40">0.25*D241+0.75*D242</f>
        <v>4.3656771449817136</v>
      </c>
      <c r="E246" s="63">
        <f t="shared" si="40"/>
        <v>5.2216254523793335</v>
      </c>
      <c r="F246" s="63">
        <f t="shared" si="40"/>
        <v>6.0415295737636407</v>
      </c>
      <c r="G246" s="63">
        <f t="shared" si="40"/>
        <v>6.7880506138303742</v>
      </c>
      <c r="H246" s="63">
        <f t="shared" si="40"/>
        <v>7.5036605493796049</v>
      </c>
      <c r="I246" s="63">
        <f t="shared" si="40"/>
        <v>8.7778198007276753</v>
      </c>
      <c r="J246" s="84">
        <f t="shared" si="36"/>
        <v>5.9781030792933789</v>
      </c>
      <c r="K246" s="256"/>
      <c r="L246" s="257"/>
      <c r="M246" s="257"/>
      <c r="N246" s="257"/>
      <c r="O246" s="257"/>
      <c r="P246" s="257"/>
      <c r="Q246" s="257"/>
      <c r="R246" s="258"/>
    </row>
    <row r="247" spans="1:18" s="91" customFormat="1" ht="15" customHeight="1" thickBot="1" x14ac:dyDescent="0.3">
      <c r="A247" s="261" t="s">
        <v>116</v>
      </c>
      <c r="B247" s="262"/>
      <c r="C247" s="88">
        <f>0.15*C241+0.85*C242</f>
        <v>3.1671630962502655</v>
      </c>
      <c r="D247" s="88">
        <f t="shared" ref="D247:I247" si="41">0.15*D241+0.85*D242</f>
        <v>4.4847597124362304</v>
      </c>
      <c r="E247" s="88">
        <f t="shared" si="41"/>
        <v>5.4001838129785753</v>
      </c>
      <c r="F247" s="88">
        <f t="shared" si="41"/>
        <v>6.280000521565146</v>
      </c>
      <c r="G247" s="88">
        <f t="shared" si="41"/>
        <v>7.0806223898236151</v>
      </c>
      <c r="H247" s="88">
        <f t="shared" si="41"/>
        <v>7.84935682758322</v>
      </c>
      <c r="I247" s="88">
        <f t="shared" si="41"/>
        <v>9.2161162917409332</v>
      </c>
      <c r="J247" s="89">
        <f t="shared" si="36"/>
        <v>6.2111718074825699</v>
      </c>
      <c r="K247" s="263"/>
      <c r="L247" s="264"/>
      <c r="M247" s="264"/>
      <c r="N247" s="264"/>
      <c r="O247" s="264"/>
      <c r="P247" s="265"/>
      <c r="Q247" s="266" t="s">
        <v>0</v>
      </c>
      <c r="R247" s="267"/>
    </row>
    <row r="248" spans="1:18" s="91" customFormat="1" ht="15" customHeight="1" thickBot="1" x14ac:dyDescent="0.3">
      <c r="A248" s="90">
        <v>8</v>
      </c>
      <c r="B248" s="124" t="s">
        <v>117</v>
      </c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4"/>
    </row>
    <row r="249" spans="1:18" s="91" customFormat="1" ht="15" customHeight="1" thickBot="1" x14ac:dyDescent="0.3">
      <c r="A249" s="127" t="s">
        <v>0</v>
      </c>
      <c r="B249" s="128"/>
      <c r="C249" s="128"/>
      <c r="D249" s="128"/>
      <c r="E249" s="129"/>
      <c r="F249" s="130" t="s">
        <v>1</v>
      </c>
      <c r="G249" s="131"/>
      <c r="H249" s="132"/>
      <c r="I249" s="1" t="str">
        <f>CONCATENATE(B251,".01")</f>
        <v>1247.01</v>
      </c>
      <c r="J249" s="2" t="s">
        <v>2</v>
      </c>
      <c r="K249" s="133" t="s">
        <v>3</v>
      </c>
      <c r="L249" s="134"/>
      <c r="M249" s="135"/>
      <c r="N249" s="3" t="str">
        <f>I249</f>
        <v>1247.01</v>
      </c>
      <c r="O249" s="136" t="s">
        <v>4</v>
      </c>
      <c r="P249" s="137"/>
      <c r="Q249" s="138"/>
      <c r="R249" s="4" t="s">
        <v>5</v>
      </c>
    </row>
    <row r="250" spans="1:18" s="91" customFormat="1" ht="15" customHeight="1" x14ac:dyDescent="0.25">
      <c r="A250" s="139" t="s">
        <v>158</v>
      </c>
      <c r="B250" s="140"/>
      <c r="C250" s="141"/>
      <c r="D250" s="142" t="s">
        <v>6</v>
      </c>
      <c r="E250" s="143"/>
      <c r="F250" s="144" t="s">
        <v>7</v>
      </c>
      <c r="G250" s="145"/>
      <c r="H250" s="145"/>
      <c r="I250" s="145"/>
      <c r="J250" s="146"/>
      <c r="K250" s="147" t="s">
        <v>8</v>
      </c>
      <c r="L250" s="148"/>
      <c r="M250" s="148"/>
      <c r="N250" s="149"/>
      <c r="O250" s="150" t="s">
        <v>9</v>
      </c>
      <c r="P250" s="151"/>
      <c r="Q250" s="151"/>
      <c r="R250" s="152"/>
    </row>
    <row r="251" spans="1:18" s="91" customFormat="1" ht="15" customHeight="1" x14ac:dyDescent="0.25">
      <c r="A251" s="5" t="s">
        <v>10</v>
      </c>
      <c r="B251" s="6">
        <v>1247</v>
      </c>
      <c r="C251" s="7"/>
      <c r="D251" s="157">
        <f>INT(457468*H265^(-1.475))</f>
        <v>25</v>
      </c>
      <c r="E251" s="158"/>
      <c r="F251" s="8" t="s">
        <v>11</v>
      </c>
      <c r="G251" s="9"/>
      <c r="H251" s="159" t="s">
        <v>159</v>
      </c>
      <c r="I251" s="160"/>
      <c r="J251" s="161"/>
      <c r="K251" s="10" t="s">
        <v>12</v>
      </c>
      <c r="L251" s="11">
        <v>1902</v>
      </c>
      <c r="M251" s="290"/>
      <c r="N251" s="291"/>
      <c r="O251" s="12" t="s">
        <v>13</v>
      </c>
      <c r="P251" s="13"/>
      <c r="Q251" s="14" t="s">
        <v>14</v>
      </c>
      <c r="R251" s="15">
        <v>10</v>
      </c>
    </row>
    <row r="252" spans="1:18" s="91" customFormat="1" ht="15" customHeight="1" x14ac:dyDescent="0.25">
      <c r="A252" s="164"/>
      <c r="B252" s="165"/>
      <c r="C252" s="16"/>
      <c r="D252" s="157" t="s">
        <v>217</v>
      </c>
      <c r="E252" s="158"/>
      <c r="F252" s="166" t="s">
        <v>15</v>
      </c>
      <c r="G252" s="167"/>
      <c r="H252" s="159" t="s">
        <v>147</v>
      </c>
      <c r="I252" s="160"/>
      <c r="J252" s="161"/>
      <c r="K252" s="10" t="s">
        <v>16</v>
      </c>
      <c r="L252" s="19">
        <v>7.6529999999999996</v>
      </c>
      <c r="M252" s="18" t="s">
        <v>17</v>
      </c>
      <c r="N252" s="19">
        <v>2.7570000000000001</v>
      </c>
      <c r="O252" s="20" t="s">
        <v>18</v>
      </c>
      <c r="P252" s="21">
        <v>24</v>
      </c>
      <c r="Q252" s="22" t="s">
        <v>19</v>
      </c>
      <c r="R252" s="23"/>
    </row>
    <row r="253" spans="1:18" s="91" customFormat="1" ht="15" customHeight="1" x14ac:dyDescent="0.25">
      <c r="A253" s="174" t="s">
        <v>20</v>
      </c>
      <c r="B253" s="175"/>
      <c r="C253" s="176"/>
      <c r="D253" s="125" t="s">
        <v>21</v>
      </c>
      <c r="E253" s="126"/>
      <c r="F253" s="166" t="s">
        <v>22</v>
      </c>
      <c r="G253" s="167"/>
      <c r="H253" s="159" t="s">
        <v>155</v>
      </c>
      <c r="I253" s="160"/>
      <c r="J253" s="161"/>
      <c r="K253" s="10" t="s">
        <v>23</v>
      </c>
      <c r="L253" s="19"/>
      <c r="M253" s="18" t="s">
        <v>24</v>
      </c>
      <c r="N253" s="19"/>
      <c r="O253" s="20" t="s">
        <v>25</v>
      </c>
      <c r="P253" s="21"/>
      <c r="Q253" s="22" t="s">
        <v>26</v>
      </c>
      <c r="R253" s="23"/>
    </row>
    <row r="254" spans="1:18" s="91" customFormat="1" ht="15" customHeight="1" thickBot="1" x14ac:dyDescent="0.3">
      <c r="A254" s="174" t="s">
        <v>27</v>
      </c>
      <c r="B254" s="175"/>
      <c r="C254" s="176"/>
      <c r="D254" s="177" t="s">
        <v>28</v>
      </c>
      <c r="E254" s="149"/>
      <c r="F254" s="224" t="s">
        <v>29</v>
      </c>
      <c r="G254" s="225"/>
      <c r="H254" s="277">
        <v>2016</v>
      </c>
      <c r="I254" s="281"/>
      <c r="J254" s="282"/>
      <c r="K254" s="24" t="s">
        <v>30</v>
      </c>
      <c r="L254" s="19"/>
      <c r="M254" s="25" t="s">
        <v>31</v>
      </c>
      <c r="N254" s="19"/>
      <c r="O254" s="26" t="s">
        <v>32</v>
      </c>
      <c r="P254" s="27">
        <v>25</v>
      </c>
      <c r="Q254" s="28" t="s">
        <v>33</v>
      </c>
      <c r="R254" s="29"/>
    </row>
    <row r="255" spans="1:18" s="91" customFormat="1" ht="15" customHeight="1" x14ac:dyDescent="0.25">
      <c r="A255" s="174" t="s">
        <v>34</v>
      </c>
      <c r="B255" s="175"/>
      <c r="C255" s="176"/>
      <c r="D255" s="177" t="s">
        <v>35</v>
      </c>
      <c r="E255" s="149"/>
      <c r="F255" s="166" t="s">
        <v>36</v>
      </c>
      <c r="G255" s="167"/>
      <c r="H255" s="173" t="s">
        <v>122</v>
      </c>
      <c r="I255" s="178"/>
      <c r="J255" s="179"/>
      <c r="K255" s="180" t="s">
        <v>37</v>
      </c>
      <c r="L255" s="181"/>
      <c r="M255" s="181"/>
      <c r="N255" s="181"/>
      <c r="O255" s="181"/>
      <c r="P255" s="181"/>
      <c r="Q255" s="181"/>
      <c r="R255" s="182"/>
    </row>
    <row r="256" spans="1:18" s="91" customFormat="1" ht="15" customHeight="1" x14ac:dyDescent="0.25">
      <c r="A256" s="147" t="s">
        <v>35</v>
      </c>
      <c r="B256" s="148"/>
      <c r="C256" s="183"/>
      <c r="D256" s="184"/>
      <c r="E256" s="185"/>
      <c r="F256" s="166" t="s">
        <v>38</v>
      </c>
      <c r="G256" s="167"/>
      <c r="H256" s="186"/>
      <c r="I256" s="186"/>
      <c r="J256" s="30">
        <f>IF(H257="Подвесной мотор",0,IF(H256="Литой",0.005,0))</f>
        <v>0</v>
      </c>
      <c r="K256" s="31" t="s">
        <v>39</v>
      </c>
      <c r="L256" s="92">
        <v>5.9</v>
      </c>
      <c r="M256" s="33" t="s">
        <v>40</v>
      </c>
      <c r="N256" s="93">
        <v>4.2000000000000003E-2</v>
      </c>
      <c r="O256" s="94" t="s">
        <v>41</v>
      </c>
      <c r="P256" s="61">
        <f>L256*L260*N261*0.0175/N256</f>
        <v>27.743518436447442</v>
      </c>
      <c r="Q256" s="187"/>
      <c r="R256" s="188"/>
    </row>
    <row r="257" spans="1:18" s="91" customFormat="1" ht="15" customHeight="1" thickBot="1" x14ac:dyDescent="0.3">
      <c r="A257" s="168"/>
      <c r="B257" s="169"/>
      <c r="C257" s="170"/>
      <c r="D257" s="171"/>
      <c r="E257" s="172"/>
      <c r="F257" s="166" t="s">
        <v>42</v>
      </c>
      <c r="G257" s="167"/>
      <c r="H257" s="173" t="s">
        <v>142</v>
      </c>
      <c r="I257" s="173"/>
      <c r="J257" s="30">
        <f>IF(H257="Без двигателя",1,IF(H257="Подвесной мотор",0.995,IF(H257="Привод в кронштейне",0.99,IF(H257="Открытый вал",0.98,IF(H257="Закрытый вал",0.97,IF(H257="В вырезе",0.96,"Установка ? "))))))</f>
        <v>0.995</v>
      </c>
      <c r="K257" s="31" t="s">
        <v>43</v>
      </c>
      <c r="L257" s="92">
        <v>10.9</v>
      </c>
      <c r="M257" s="33" t="s">
        <v>44</v>
      </c>
      <c r="N257" s="93">
        <v>7.9000000000000001E-2</v>
      </c>
      <c r="O257" s="94" t="s">
        <v>45</v>
      </c>
      <c r="P257" s="61">
        <f>L257*L260*N261*0.0175/N257</f>
        <v>27.249480240732968</v>
      </c>
      <c r="Q257" s="189"/>
      <c r="R257" s="190"/>
    </row>
    <row r="258" spans="1:18" s="91" customFormat="1" ht="15" customHeight="1" x14ac:dyDescent="0.25">
      <c r="A258" s="36"/>
      <c r="B258" s="37"/>
      <c r="C258" s="37"/>
      <c r="D258" s="37"/>
      <c r="E258" s="37"/>
      <c r="F258" s="144" t="s">
        <v>46</v>
      </c>
      <c r="G258" s="153"/>
      <c r="H258" s="154"/>
      <c r="I258" s="155"/>
      <c r="J258" s="156"/>
      <c r="K258" s="38" t="s">
        <v>47</v>
      </c>
      <c r="L258" s="92">
        <v>16.100000000000001</v>
      </c>
      <c r="M258" s="33" t="s">
        <v>48</v>
      </c>
      <c r="N258" s="93">
        <v>0.115</v>
      </c>
      <c r="O258" s="94" t="s">
        <v>49</v>
      </c>
      <c r="P258" s="61">
        <f>L258*L260*N261*0.0175/N258</f>
        <v>27.64947261123914</v>
      </c>
      <c r="Q258" s="189"/>
      <c r="R258" s="190"/>
    </row>
    <row r="259" spans="1:18" s="91" customFormat="1" ht="15" customHeight="1" x14ac:dyDescent="0.25">
      <c r="A259" s="36"/>
      <c r="B259" s="37"/>
      <c r="C259" s="37"/>
      <c r="D259" s="37"/>
      <c r="E259" s="37"/>
      <c r="F259" s="39"/>
      <c r="G259" s="37"/>
      <c r="H259" s="37"/>
      <c r="I259" s="37"/>
      <c r="J259" s="37"/>
      <c r="K259" s="38" t="s">
        <v>50</v>
      </c>
      <c r="L259" s="95">
        <v>22</v>
      </c>
      <c r="M259" s="33" t="s">
        <v>51</v>
      </c>
      <c r="N259" s="93">
        <v>0.156</v>
      </c>
      <c r="O259" s="94" t="s">
        <v>52</v>
      </c>
      <c r="P259" s="61">
        <f>L259*L260*N261*0.0175/N259</f>
        <v>27.852032850149318</v>
      </c>
      <c r="Q259" s="189"/>
      <c r="R259" s="190"/>
    </row>
    <row r="260" spans="1:18" s="91" customFormat="1" ht="15" customHeight="1" x14ac:dyDescent="0.25">
      <c r="A260" s="197" t="s">
        <v>53</v>
      </c>
      <c r="B260" s="198"/>
      <c r="C260" s="41"/>
      <c r="D260" s="41"/>
      <c r="E260" s="41"/>
      <c r="F260" s="42"/>
      <c r="G260" s="41"/>
      <c r="H260" s="41"/>
      <c r="I260" s="41"/>
      <c r="J260" s="41"/>
      <c r="K260" s="31" t="s">
        <v>54</v>
      </c>
      <c r="L260" s="43">
        <v>7.52</v>
      </c>
      <c r="M260" s="33" t="s">
        <v>55</v>
      </c>
      <c r="N260" s="34">
        <v>1.5049999999999999</v>
      </c>
      <c r="O260" s="18" t="s">
        <v>56</v>
      </c>
      <c r="P260" s="96">
        <f>AVERAGE(P256:P259)</f>
        <v>27.623626034642218</v>
      </c>
      <c r="Q260" s="189"/>
      <c r="R260" s="190"/>
    </row>
    <row r="261" spans="1:18" s="91" customFormat="1" ht="15" customHeight="1" x14ac:dyDescent="0.25">
      <c r="A261" s="199" t="s">
        <v>160</v>
      </c>
      <c r="B261" s="200"/>
      <c r="C261" s="200"/>
      <c r="D261" s="200"/>
      <c r="E261" s="200"/>
      <c r="F261" s="200"/>
      <c r="G261" s="200"/>
      <c r="H261" s="200"/>
      <c r="I261" s="200"/>
      <c r="J261" s="201"/>
      <c r="K261" s="45" t="s">
        <v>57</v>
      </c>
      <c r="L261" s="34">
        <v>0.64</v>
      </c>
      <c r="M261" s="33" t="s">
        <v>58</v>
      </c>
      <c r="N261" s="46">
        <f>N260/(1+L261/L262)</f>
        <v>1.5007312533238786</v>
      </c>
      <c r="O261" s="47" t="s">
        <v>59</v>
      </c>
      <c r="P261" s="48">
        <f>3.281*((0.03*B265*B266^3*1025.8-54*P260)/L251-0.0625*B265)+0.25</f>
        <v>-0.39330850727078392</v>
      </c>
      <c r="Q261" s="191"/>
      <c r="R261" s="192"/>
    </row>
    <row r="262" spans="1:18" s="91" customFormat="1" ht="15" customHeight="1" thickBot="1" x14ac:dyDescent="0.3">
      <c r="A262" s="292" t="s">
        <v>161</v>
      </c>
      <c r="B262" s="293"/>
      <c r="C262" s="293"/>
      <c r="D262" s="293"/>
      <c r="E262" s="293"/>
      <c r="F262" s="293"/>
      <c r="G262" s="293"/>
      <c r="H262" s="293"/>
      <c r="I262" s="293"/>
      <c r="J262" s="294"/>
      <c r="K262" s="49" t="s">
        <v>60</v>
      </c>
      <c r="L262" s="50">
        <v>225</v>
      </c>
      <c r="M262" s="205" t="s">
        <v>61</v>
      </c>
      <c r="N262" s="206"/>
      <c r="O262" s="206"/>
      <c r="P262" s="207"/>
      <c r="Q262" s="208">
        <v>41455</v>
      </c>
      <c r="R262" s="208"/>
    </row>
    <row r="263" spans="1:18" s="91" customFormat="1" ht="15" customHeight="1" x14ac:dyDescent="0.25">
      <c r="A263" s="209" t="s">
        <v>62</v>
      </c>
      <c r="B263" s="210"/>
      <c r="C263" s="210"/>
      <c r="D263" s="210"/>
      <c r="E263" s="210"/>
      <c r="F263" s="210"/>
      <c r="G263" s="210"/>
      <c r="H263" s="210"/>
      <c r="I263" s="210"/>
      <c r="J263" s="211"/>
      <c r="K263" s="180" t="s">
        <v>63</v>
      </c>
      <c r="L263" s="181"/>
      <c r="M263" s="181"/>
      <c r="N263" s="181"/>
      <c r="O263" s="181"/>
      <c r="P263" s="181"/>
      <c r="Q263" s="181"/>
      <c r="R263" s="182"/>
    </row>
    <row r="264" spans="1:18" s="91" customFormat="1" ht="15" customHeight="1" x14ac:dyDescent="0.25">
      <c r="A264" s="242" t="s">
        <v>64</v>
      </c>
      <c r="B264" s="243"/>
      <c r="C264" s="244" t="s">
        <v>65</v>
      </c>
      <c r="D264" s="245"/>
      <c r="E264" s="246" t="s">
        <v>66</v>
      </c>
      <c r="F264" s="247"/>
      <c r="G264" s="142" t="s">
        <v>67</v>
      </c>
      <c r="H264" s="250"/>
      <c r="I264" s="250"/>
      <c r="J264" s="143"/>
      <c r="K264" s="193" t="s">
        <v>68</v>
      </c>
      <c r="L264" s="194"/>
      <c r="M264" s="195" t="s">
        <v>69</v>
      </c>
      <c r="N264" s="196"/>
      <c r="O264" s="227" t="s">
        <v>70</v>
      </c>
      <c r="P264" s="194"/>
      <c r="Q264" s="195" t="s">
        <v>71</v>
      </c>
      <c r="R264" s="228"/>
    </row>
    <row r="265" spans="1:18" s="91" customFormat="1" ht="15" customHeight="1" x14ac:dyDescent="0.25">
      <c r="A265" s="10" t="s">
        <v>72</v>
      </c>
      <c r="B265" s="44">
        <v>6.4630000000000001</v>
      </c>
      <c r="C265" s="51" t="s">
        <v>73</v>
      </c>
      <c r="D265" s="52">
        <f>0.125*L265*(L267+2*L268+3*L269+2*L266)</f>
        <v>17.583962499999998</v>
      </c>
      <c r="E265" s="248"/>
      <c r="F265" s="249"/>
      <c r="G265" s="53" t="s">
        <v>74</v>
      </c>
      <c r="H265" s="54">
        <f>3600/(0.5*( D274+F274))</f>
        <v>765.16477918025009</v>
      </c>
      <c r="I265" s="55" t="s">
        <v>75</v>
      </c>
      <c r="J265" s="56">
        <f>I272</f>
        <v>5.4975454731745339</v>
      </c>
      <c r="K265" s="10" t="s">
        <v>76</v>
      </c>
      <c r="L265" s="57">
        <v>8.98</v>
      </c>
      <c r="M265" s="18" t="s">
        <v>77</v>
      </c>
      <c r="N265" s="57">
        <v>8.68</v>
      </c>
      <c r="O265" s="18" t="s">
        <v>78</v>
      </c>
      <c r="P265" s="58">
        <v>8.2899999999999991</v>
      </c>
      <c r="Q265" s="18" t="s">
        <v>79</v>
      </c>
      <c r="R265" s="59"/>
    </row>
    <row r="266" spans="1:18" s="91" customFormat="1" ht="15" customHeight="1" x14ac:dyDescent="0.25">
      <c r="A266" s="10" t="s">
        <v>80</v>
      </c>
      <c r="B266" s="44">
        <v>2.117</v>
      </c>
      <c r="C266" s="18" t="s">
        <v>81</v>
      </c>
      <c r="D266" s="52">
        <f>N265*N266*0.5</f>
        <v>16.665599999999998</v>
      </c>
      <c r="E266" s="60" t="s">
        <v>82</v>
      </c>
      <c r="F266" s="61">
        <f>0.85*B265*B266</f>
        <v>11.62984535</v>
      </c>
      <c r="G266" s="62" t="s">
        <v>83</v>
      </c>
      <c r="H266" s="63">
        <f>3600/H265</f>
        <v>4.7048689353642441</v>
      </c>
      <c r="I266" s="64" t="s">
        <v>84</v>
      </c>
      <c r="J266" s="56">
        <f>I273</f>
        <v>9.6840172369881117</v>
      </c>
      <c r="K266" s="65" t="s">
        <v>85</v>
      </c>
      <c r="L266" s="57">
        <v>3.18</v>
      </c>
      <c r="M266" s="18" t="s">
        <v>86</v>
      </c>
      <c r="N266" s="57">
        <v>3.84</v>
      </c>
      <c r="O266" s="18" t="s">
        <v>87</v>
      </c>
      <c r="P266" s="58">
        <v>4.5999999999999996</v>
      </c>
      <c r="Q266" s="18" t="s">
        <v>88</v>
      </c>
      <c r="R266" s="59"/>
    </row>
    <row r="267" spans="1:18" s="91" customFormat="1" ht="15" customHeight="1" x14ac:dyDescent="0.25">
      <c r="A267" s="66" t="s">
        <v>89</v>
      </c>
      <c r="B267" s="67">
        <f>IF(H254&gt;2012,1,IF(H254&gt;2008,0.995,0.99))</f>
        <v>1</v>
      </c>
      <c r="C267" s="18" t="s">
        <v>90</v>
      </c>
      <c r="D267" s="52">
        <f>IF(   P267="0",0.8*P265*P266, 0.5*P267*P265+2*(P266-0.5*P267)*P265/3)</f>
        <v>31.84741666666666</v>
      </c>
      <c r="E267" s="68"/>
      <c r="F267" s="69"/>
      <c r="G267" s="69"/>
      <c r="H267" s="69"/>
      <c r="I267" s="70"/>
      <c r="J267" s="71"/>
      <c r="K267" s="10" t="s">
        <v>91</v>
      </c>
      <c r="L267" s="72">
        <v>0.155</v>
      </c>
      <c r="M267" s="227"/>
      <c r="N267" s="194"/>
      <c r="O267" s="18" t="s">
        <v>92</v>
      </c>
      <c r="P267" s="73">
        <v>4.6500000000000004</v>
      </c>
      <c r="Q267" s="18" t="s">
        <v>93</v>
      </c>
      <c r="R267" s="59"/>
    </row>
    <row r="268" spans="1:18" s="91" customFormat="1" ht="15" customHeight="1" x14ac:dyDescent="0.25">
      <c r="A268" s="10" t="s">
        <v>94</v>
      </c>
      <c r="B268" s="35">
        <f>J257-J256</f>
        <v>0.995</v>
      </c>
      <c r="C268" s="18" t="s">
        <v>95</v>
      </c>
      <c r="D268" s="52">
        <f>(0.5*(R265+R266)*(R267+4*R268))/6</f>
        <v>0</v>
      </c>
      <c r="E268" s="74"/>
      <c r="F268" s="74"/>
      <c r="G268" s="74"/>
      <c r="H268" s="74"/>
      <c r="I268" s="74"/>
      <c r="J268" s="74"/>
      <c r="K268" s="10" t="s">
        <v>96</v>
      </c>
      <c r="L268" s="75">
        <v>1.32</v>
      </c>
      <c r="M268" s="187"/>
      <c r="N268" s="229"/>
      <c r="O268" s="229"/>
      <c r="P268" s="230"/>
      <c r="Q268" s="18" t="s">
        <v>97</v>
      </c>
      <c r="R268" s="59"/>
    </row>
    <row r="269" spans="1:18" s="91" customFormat="1" ht="15" customHeight="1" x14ac:dyDescent="0.25">
      <c r="A269" s="10" t="s">
        <v>98</v>
      </c>
      <c r="B269" s="67">
        <f>IF(H255="шверт",1.005,1)</f>
        <v>1</v>
      </c>
      <c r="C269" s="16" t="s">
        <v>99</v>
      </c>
      <c r="D269" s="76">
        <f>D265+MAX(D267,D266,D268)</f>
        <v>49.431379166666659</v>
      </c>
      <c r="E269" s="77"/>
      <c r="F269" s="78"/>
      <c r="G269" s="78"/>
      <c r="H269" s="78"/>
      <c r="I269" s="78"/>
      <c r="J269" s="78"/>
      <c r="K269" s="10" t="s">
        <v>100</v>
      </c>
      <c r="L269" s="75">
        <v>2.17</v>
      </c>
      <c r="M269" s="191"/>
      <c r="N269" s="231"/>
      <c r="O269" s="231"/>
      <c r="P269" s="232"/>
      <c r="Q269" s="227"/>
      <c r="R269" s="233"/>
    </row>
    <row r="270" spans="1:18" s="91" customFormat="1" ht="15" customHeight="1" x14ac:dyDescent="0.25">
      <c r="A270" s="234"/>
      <c r="B270" s="235"/>
      <c r="C270" s="16" t="s">
        <v>101</v>
      </c>
      <c r="D270" s="79">
        <f>D265+D266</f>
        <v>34.249562499999996</v>
      </c>
      <c r="E270" s="236" t="s">
        <v>102</v>
      </c>
      <c r="F270" s="237"/>
      <c r="G270" s="237"/>
      <c r="H270" s="237"/>
      <c r="I270" s="238"/>
      <c r="J270" s="80" t="s">
        <v>103</v>
      </c>
      <c r="K270" s="239"/>
      <c r="L270" s="240"/>
      <c r="M270" s="240"/>
      <c r="N270" s="240"/>
      <c r="O270" s="240"/>
      <c r="P270" s="240"/>
      <c r="Q270" s="240"/>
      <c r="R270" s="241"/>
    </row>
    <row r="271" spans="1:18" s="91" customFormat="1" ht="15" customHeight="1" thickBot="1" x14ac:dyDescent="0.3">
      <c r="A271" s="212" t="s">
        <v>104</v>
      </c>
      <c r="B271" s="213"/>
      <c r="C271" s="81">
        <v>6</v>
      </c>
      <c r="D271" s="81">
        <v>8</v>
      </c>
      <c r="E271" s="81">
        <v>10</v>
      </c>
      <c r="F271" s="81">
        <v>12</v>
      </c>
      <c r="G271" s="81">
        <v>14</v>
      </c>
      <c r="H271" s="81">
        <v>16</v>
      </c>
      <c r="I271" s="82">
        <v>20</v>
      </c>
      <c r="J271" s="97">
        <f>AVERAGE(J272:J278)</f>
        <v>5.3351342906771384</v>
      </c>
      <c r="K271" s="164" t="s">
        <v>105</v>
      </c>
      <c r="L271" s="165"/>
      <c r="M271" s="214" t="str">
        <f>IF(P261&gt;-0.25,"SV непригодно для категории гонок 0,1,2 и3"," ")</f>
        <v xml:space="preserve"> </v>
      </c>
      <c r="N271" s="215"/>
      <c r="O271" s="215"/>
      <c r="P271" s="215"/>
      <c r="Q271" s="215"/>
      <c r="R271" s="216"/>
    </row>
    <row r="272" spans="1:18" s="91" customFormat="1" ht="15" customHeight="1" x14ac:dyDescent="0.25">
      <c r="A272" s="217" t="s">
        <v>106</v>
      </c>
      <c r="B272" s="218"/>
      <c r="C272" s="63">
        <f>SQRT(C271/I271)*I272</f>
        <v>3.0111296665681042</v>
      </c>
      <c r="D272" s="63">
        <f>SQRT(D271/I271)*I272</f>
        <v>3.4769530471159262</v>
      </c>
      <c r="E272" s="63">
        <f>SQRT(E271/I271)*I272</f>
        <v>3.8873516839631201</v>
      </c>
      <c r="F272" s="63">
        <f>SQRT(F271/I271)*I272</f>
        <v>4.2583804125245885</v>
      </c>
      <c r="G272" s="63">
        <f>SQRT(G271/I271)*I272</f>
        <v>4.5995765414584922</v>
      </c>
      <c r="H272" s="63">
        <f>SQRT(H271/I271)*I272</f>
        <v>4.917154154965802</v>
      </c>
      <c r="I272" s="63">
        <f>(D270^(0.25)/((0.001*L251)^(1/6)))*(SQRT(B265)*B267*B268)</f>
        <v>5.4975454731745339</v>
      </c>
      <c r="J272" s="84">
        <f t="shared" ref="J272:J278" si="42">AVERAGE(C272:I272)</f>
        <v>4.2354415685386524</v>
      </c>
      <c r="K272" s="219" t="s">
        <v>107</v>
      </c>
      <c r="L272" s="220"/>
      <c r="M272" s="221" t="s">
        <v>143</v>
      </c>
      <c r="N272" s="222"/>
      <c r="O272" s="222"/>
      <c r="P272" s="222"/>
      <c r="Q272" s="222"/>
      <c r="R272" s="223"/>
    </row>
    <row r="273" spans="1:18" s="91" customFormat="1" ht="15" customHeight="1" x14ac:dyDescent="0.25">
      <c r="A273" s="217" t="s">
        <v>108</v>
      </c>
      <c r="B273" s="218"/>
      <c r="C273" s="63">
        <f>SQRT(C271/I271)*SQRT(D269/(SQRT(0.69)*F266))*SQRT(B265)*B267*B268*B269</f>
        <v>3.1340282539816759</v>
      </c>
      <c r="D273" s="63">
        <f>SQRT(D271/I271)*SQRT(D269/(0.52*F266))*SQRT(B265)*B267*B268*B269</f>
        <v>4.5738600980439355</v>
      </c>
      <c r="E273" s="63">
        <f>SQRT(E271/I271)*SQRT(D269/(0.44*F266))*SQRT(B265)*B267*B268*B269</f>
        <v>5.5592117508017544</v>
      </c>
      <c r="F273" s="63">
        <f>SQRT(F271/I271)*SQRT(D269/(0.385*F266))*SQRT(B265)*B267*B268*B269</f>
        <v>6.5102821837725289</v>
      </c>
      <c r="G273" s="63">
        <f>SQRT(G271/I271)*SQRT(D269/(0.35*F266))*SQRT(B265)*B267*B268*B269</f>
        <v>7.3751278030176586</v>
      </c>
      <c r="H273" s="63">
        <f>SQRT(H271/I271)*SQRT(D269/(0.323*F266))*SQRT(B265)*B267*B268*B269</f>
        <v>8.2072617631037019</v>
      </c>
      <c r="I273" s="63">
        <f>SQRT(D269/(0.29*F266))*SQRT(B265)*B267*B268*B269</f>
        <v>9.6840172369881117</v>
      </c>
      <c r="J273" s="84">
        <f t="shared" si="42"/>
        <v>6.4348270128156235</v>
      </c>
      <c r="K273" s="85" t="s">
        <v>109</v>
      </c>
      <c r="L273" s="86"/>
      <c r="M273" s="87">
        <v>41455</v>
      </c>
      <c r="N273" s="268"/>
      <c r="O273" s="269"/>
      <c r="P273" s="269"/>
      <c r="Q273" s="269"/>
      <c r="R273" s="270"/>
    </row>
    <row r="274" spans="1:18" s="91" customFormat="1" ht="15" customHeight="1" x14ac:dyDescent="0.25">
      <c r="A274" s="251" t="s">
        <v>110</v>
      </c>
      <c r="B274" s="252"/>
      <c r="C274" s="63">
        <f>0.5*(C272+C273)</f>
        <v>3.0725789602748899</v>
      </c>
      <c r="D274" s="63">
        <f t="shared" ref="D274:I274" si="43">0.5*(D272+D273)</f>
        <v>4.0254065725799304</v>
      </c>
      <c r="E274" s="63">
        <f t="shared" si="43"/>
        <v>4.7232817173824371</v>
      </c>
      <c r="F274" s="63">
        <f t="shared" si="43"/>
        <v>5.3843312981485587</v>
      </c>
      <c r="G274" s="63">
        <f t="shared" si="43"/>
        <v>5.9873521722380758</v>
      </c>
      <c r="H274" s="63">
        <f t="shared" si="43"/>
        <v>6.562207959034752</v>
      </c>
      <c r="I274" s="63">
        <f t="shared" si="43"/>
        <v>7.5907813550813223</v>
      </c>
      <c r="J274" s="84">
        <f t="shared" si="42"/>
        <v>5.3351342906771384</v>
      </c>
      <c r="K274" s="166" t="s">
        <v>111</v>
      </c>
      <c r="L274" s="167"/>
      <c r="M274" s="87">
        <v>41485</v>
      </c>
      <c r="N274" s="271"/>
      <c r="O274" s="272"/>
      <c r="P274" s="272"/>
      <c r="Q274" s="272"/>
      <c r="R274" s="273"/>
    </row>
    <row r="275" spans="1:18" s="91" customFormat="1" ht="15" customHeight="1" x14ac:dyDescent="0.25">
      <c r="A275" s="251" t="s">
        <v>112</v>
      </c>
      <c r="B275" s="252"/>
      <c r="C275" s="63">
        <f>0.85*C272+0.15*C273</f>
        <v>3.0295644546801399</v>
      </c>
      <c r="D275" s="63">
        <f t="shared" ref="D275:I275" si="44">0.85*D272+0.15*D273</f>
        <v>3.6414891047551272</v>
      </c>
      <c r="E275" s="63">
        <f t="shared" si="44"/>
        <v>4.1381306939889146</v>
      </c>
      <c r="F275" s="63">
        <f t="shared" si="44"/>
        <v>4.5961656782117792</v>
      </c>
      <c r="G275" s="63">
        <f t="shared" si="44"/>
        <v>5.0159092306923672</v>
      </c>
      <c r="H275" s="63">
        <f t="shared" si="44"/>
        <v>5.4106702961864865</v>
      </c>
      <c r="I275" s="63">
        <f t="shared" si="44"/>
        <v>6.1255162377465702</v>
      </c>
      <c r="J275" s="84">
        <f t="shared" si="42"/>
        <v>4.5653493851801974</v>
      </c>
      <c r="K275" s="224" t="s">
        <v>113</v>
      </c>
      <c r="L275" s="225"/>
      <c r="M275" s="184"/>
      <c r="N275" s="274"/>
      <c r="O275" s="274"/>
      <c r="P275" s="274"/>
      <c r="Q275" s="274"/>
      <c r="R275" s="185"/>
    </row>
    <row r="276" spans="1:18" s="91" customFormat="1" ht="15" customHeight="1" x14ac:dyDescent="0.25">
      <c r="A276" s="251" t="s">
        <v>114</v>
      </c>
      <c r="B276" s="252"/>
      <c r="C276" s="63">
        <f>0.75*C272+0.25*C273</f>
        <v>3.041854313421497</v>
      </c>
      <c r="D276" s="63">
        <f t="shared" ref="D276:I276" si="45">0.75*D272+0.25*D273</f>
        <v>3.7511798098479283</v>
      </c>
      <c r="E276" s="63">
        <f t="shared" si="45"/>
        <v>4.3053167006727788</v>
      </c>
      <c r="F276" s="63">
        <f t="shared" si="45"/>
        <v>4.8213558553365736</v>
      </c>
      <c r="G276" s="63">
        <f t="shared" si="45"/>
        <v>5.2934643568482835</v>
      </c>
      <c r="H276" s="63">
        <f t="shared" si="45"/>
        <v>5.7396810570002774</v>
      </c>
      <c r="I276" s="63">
        <f t="shared" si="45"/>
        <v>6.5441634141279286</v>
      </c>
      <c r="J276" s="84">
        <f t="shared" si="42"/>
        <v>4.7852879296078958</v>
      </c>
      <c r="K276" s="253"/>
      <c r="L276" s="254"/>
      <c r="M276" s="254"/>
      <c r="N276" s="254"/>
      <c r="O276" s="254"/>
      <c r="P276" s="254"/>
      <c r="Q276" s="254"/>
      <c r="R276" s="255"/>
    </row>
    <row r="277" spans="1:18" s="91" customFormat="1" ht="15" customHeight="1" x14ac:dyDescent="0.25">
      <c r="A277" s="259" t="s">
        <v>115</v>
      </c>
      <c r="B277" s="260"/>
      <c r="C277" s="63">
        <f>0.25*C272+0.75*C273</f>
        <v>3.1033036071282831</v>
      </c>
      <c r="D277" s="63">
        <f t="shared" ref="D277:I277" si="46">0.25*D272+0.75*D273</f>
        <v>4.2996333353119329</v>
      </c>
      <c r="E277" s="63">
        <f t="shared" si="46"/>
        <v>5.1412467340920962</v>
      </c>
      <c r="F277" s="63">
        <f t="shared" si="46"/>
        <v>5.9473067409605438</v>
      </c>
      <c r="G277" s="63">
        <f t="shared" si="46"/>
        <v>6.6812399876278672</v>
      </c>
      <c r="H277" s="63">
        <f t="shared" si="46"/>
        <v>7.3847348610692265</v>
      </c>
      <c r="I277" s="63">
        <f t="shared" si="46"/>
        <v>8.637399296034717</v>
      </c>
      <c r="J277" s="84">
        <f t="shared" si="42"/>
        <v>5.884980651746381</v>
      </c>
      <c r="K277" s="256"/>
      <c r="L277" s="257"/>
      <c r="M277" s="257"/>
      <c r="N277" s="257"/>
      <c r="O277" s="257"/>
      <c r="P277" s="257"/>
      <c r="Q277" s="257"/>
      <c r="R277" s="258"/>
    </row>
    <row r="278" spans="1:18" s="91" customFormat="1" ht="15" customHeight="1" thickBot="1" x14ac:dyDescent="0.3">
      <c r="A278" s="261" t="s">
        <v>116</v>
      </c>
      <c r="B278" s="262"/>
      <c r="C278" s="88">
        <f>0.15*C272+0.85*C273</f>
        <v>3.1155934658696403</v>
      </c>
      <c r="D278" s="88">
        <f t="shared" ref="D278:I278" si="47">0.15*D272+0.85*D273</f>
        <v>4.4093240404047336</v>
      </c>
      <c r="E278" s="88">
        <f t="shared" si="47"/>
        <v>5.3084327407759586</v>
      </c>
      <c r="F278" s="88">
        <f t="shared" si="47"/>
        <v>6.1724969180853373</v>
      </c>
      <c r="G278" s="88">
        <f t="shared" si="47"/>
        <v>6.9587951137837836</v>
      </c>
      <c r="H278" s="88">
        <f t="shared" si="47"/>
        <v>7.7137456218830174</v>
      </c>
      <c r="I278" s="88">
        <f t="shared" si="47"/>
        <v>9.0560464724160745</v>
      </c>
      <c r="J278" s="89">
        <f t="shared" si="42"/>
        <v>6.1049191961740785</v>
      </c>
      <c r="K278" s="263"/>
      <c r="L278" s="264"/>
      <c r="M278" s="264"/>
      <c r="N278" s="264"/>
      <c r="O278" s="264"/>
      <c r="P278" s="265"/>
      <c r="Q278" s="266" t="s">
        <v>0</v>
      </c>
      <c r="R278" s="267"/>
    </row>
    <row r="279" spans="1:18" s="91" customFormat="1" ht="15" customHeight="1" thickBot="1" x14ac:dyDescent="0.3">
      <c r="A279" s="90">
        <v>9</v>
      </c>
      <c r="B279" s="295" t="s">
        <v>117</v>
      </c>
      <c r="C279" s="295"/>
      <c r="D279" s="295"/>
      <c r="E279" s="295"/>
      <c r="F279" s="295"/>
      <c r="G279" s="295"/>
      <c r="H279" s="295"/>
      <c r="I279" s="295"/>
      <c r="J279" s="295"/>
      <c r="K279" s="295"/>
      <c r="L279" s="295"/>
      <c r="M279" s="295"/>
      <c r="N279" s="295"/>
      <c r="O279" s="295"/>
      <c r="P279" s="295"/>
      <c r="Q279" s="295"/>
      <c r="R279" s="295"/>
    </row>
    <row r="280" spans="1:18" s="91" customFormat="1" ht="15" customHeight="1" thickBot="1" x14ac:dyDescent="0.3">
      <c r="A280" s="127" t="s">
        <v>0</v>
      </c>
      <c r="B280" s="128"/>
      <c r="C280" s="128"/>
      <c r="D280" s="128"/>
      <c r="E280" s="129"/>
      <c r="F280" s="130" t="s">
        <v>1</v>
      </c>
      <c r="G280" s="131"/>
      <c r="H280" s="132"/>
      <c r="I280" s="1" t="str">
        <f>CONCATENATE(B282,".01")</f>
        <v>1059.01</v>
      </c>
      <c r="J280" s="2" t="s">
        <v>2</v>
      </c>
      <c r="K280" s="133" t="s">
        <v>3</v>
      </c>
      <c r="L280" s="134"/>
      <c r="M280" s="135"/>
      <c r="N280" s="3" t="str">
        <f>I280</f>
        <v>1059.01</v>
      </c>
      <c r="O280" s="136" t="s">
        <v>4</v>
      </c>
      <c r="P280" s="137"/>
      <c r="Q280" s="138"/>
      <c r="R280" s="4" t="s">
        <v>5</v>
      </c>
    </row>
    <row r="281" spans="1:18" s="91" customFormat="1" ht="15" customHeight="1" x14ac:dyDescent="0.25">
      <c r="A281" s="139" t="s">
        <v>167</v>
      </c>
      <c r="B281" s="140"/>
      <c r="C281" s="141"/>
      <c r="D281" s="142" t="s">
        <v>6</v>
      </c>
      <c r="E281" s="143"/>
      <c r="F281" s="144" t="s">
        <v>7</v>
      </c>
      <c r="G281" s="145"/>
      <c r="H281" s="145"/>
      <c r="I281" s="145"/>
      <c r="J281" s="146"/>
      <c r="K281" s="147" t="s">
        <v>8</v>
      </c>
      <c r="L281" s="148"/>
      <c r="M281" s="148"/>
      <c r="N281" s="149"/>
      <c r="O281" s="150" t="s">
        <v>9</v>
      </c>
      <c r="P281" s="151"/>
      <c r="Q281" s="151"/>
      <c r="R281" s="152"/>
    </row>
    <row r="282" spans="1:18" s="91" customFormat="1" ht="15" customHeight="1" x14ac:dyDescent="0.25">
      <c r="A282" s="5" t="s">
        <v>10</v>
      </c>
      <c r="B282" s="6">
        <v>1059</v>
      </c>
      <c r="C282" s="7"/>
      <c r="D282" s="157">
        <f>INT(457468*H296^(-1.475))</f>
        <v>24</v>
      </c>
      <c r="E282" s="158"/>
      <c r="F282" s="8" t="s">
        <v>11</v>
      </c>
      <c r="G282" s="9"/>
      <c r="H282" s="159" t="s">
        <v>168</v>
      </c>
      <c r="I282" s="160"/>
      <c r="J282" s="161"/>
      <c r="K282" s="10" t="s">
        <v>12</v>
      </c>
      <c r="L282" s="11">
        <v>1608</v>
      </c>
      <c r="M282" s="162"/>
      <c r="N282" s="163"/>
      <c r="O282" s="12" t="s">
        <v>13</v>
      </c>
      <c r="P282" s="13"/>
      <c r="Q282" s="14" t="s">
        <v>14</v>
      </c>
      <c r="R282" s="15"/>
    </row>
    <row r="283" spans="1:18" s="91" customFormat="1" ht="15" customHeight="1" x14ac:dyDescent="0.25">
      <c r="A283" s="164"/>
      <c r="B283" s="165"/>
      <c r="C283" s="16"/>
      <c r="D283" s="157" t="s">
        <v>217</v>
      </c>
      <c r="E283" s="158"/>
      <c r="F283" s="166" t="s">
        <v>15</v>
      </c>
      <c r="G283" s="167"/>
      <c r="H283" s="159" t="s">
        <v>169</v>
      </c>
      <c r="I283" s="160"/>
      <c r="J283" s="161"/>
      <c r="K283" s="10" t="s">
        <v>16</v>
      </c>
      <c r="L283" s="17">
        <v>7.56</v>
      </c>
      <c r="M283" s="18" t="s">
        <v>17</v>
      </c>
      <c r="N283" s="19">
        <v>2.444</v>
      </c>
      <c r="O283" s="20" t="s">
        <v>18</v>
      </c>
      <c r="P283" s="21"/>
      <c r="Q283" s="22" t="s">
        <v>19</v>
      </c>
      <c r="R283" s="23"/>
    </row>
    <row r="284" spans="1:18" s="91" customFormat="1" ht="15" customHeight="1" x14ac:dyDescent="0.25">
      <c r="A284" s="174" t="s">
        <v>20</v>
      </c>
      <c r="B284" s="175"/>
      <c r="C284" s="176"/>
      <c r="D284" s="125" t="s">
        <v>21</v>
      </c>
      <c r="E284" s="126"/>
      <c r="F284" s="166" t="s">
        <v>22</v>
      </c>
      <c r="G284" s="167"/>
      <c r="H284" s="159" t="s">
        <v>141</v>
      </c>
      <c r="I284" s="160"/>
      <c r="J284" s="161"/>
      <c r="K284" s="10" t="s">
        <v>23</v>
      </c>
      <c r="L284" s="17">
        <v>0.95</v>
      </c>
      <c r="M284" s="18" t="s">
        <v>24</v>
      </c>
      <c r="N284" s="19">
        <v>0.22</v>
      </c>
      <c r="O284" s="20" t="s">
        <v>25</v>
      </c>
      <c r="P284" s="21"/>
      <c r="Q284" s="22" t="s">
        <v>26</v>
      </c>
      <c r="R284" s="23"/>
    </row>
    <row r="285" spans="1:18" s="91" customFormat="1" ht="15" customHeight="1" thickBot="1" x14ac:dyDescent="0.3">
      <c r="A285" s="174" t="s">
        <v>27</v>
      </c>
      <c r="B285" s="175"/>
      <c r="C285" s="176"/>
      <c r="D285" s="177" t="s">
        <v>28</v>
      </c>
      <c r="E285" s="149"/>
      <c r="F285" s="224" t="s">
        <v>29</v>
      </c>
      <c r="G285" s="225"/>
      <c r="H285" s="173">
        <v>2008</v>
      </c>
      <c r="I285" s="178"/>
      <c r="J285" s="226"/>
      <c r="K285" s="24" t="s">
        <v>30</v>
      </c>
      <c r="L285" s="17">
        <v>0.2</v>
      </c>
      <c r="M285" s="25" t="s">
        <v>31</v>
      </c>
      <c r="N285" s="19">
        <v>0.22</v>
      </c>
      <c r="O285" s="26" t="s">
        <v>32</v>
      </c>
      <c r="P285" s="27"/>
      <c r="Q285" s="28" t="s">
        <v>33</v>
      </c>
      <c r="R285" s="29"/>
    </row>
    <row r="286" spans="1:18" s="91" customFormat="1" ht="15" customHeight="1" x14ac:dyDescent="0.25">
      <c r="A286" s="174" t="s">
        <v>34</v>
      </c>
      <c r="B286" s="175"/>
      <c r="C286" s="176"/>
      <c r="D286" s="177" t="s">
        <v>35</v>
      </c>
      <c r="E286" s="149"/>
      <c r="F286" s="166" t="s">
        <v>36</v>
      </c>
      <c r="G286" s="167"/>
      <c r="H286" s="173" t="s">
        <v>135</v>
      </c>
      <c r="I286" s="178"/>
      <c r="J286" s="179"/>
      <c r="K286" s="180" t="s">
        <v>37</v>
      </c>
      <c r="L286" s="181"/>
      <c r="M286" s="181"/>
      <c r="N286" s="181"/>
      <c r="O286" s="181"/>
      <c r="P286" s="181"/>
      <c r="Q286" s="181"/>
      <c r="R286" s="182"/>
    </row>
    <row r="287" spans="1:18" s="91" customFormat="1" ht="15" customHeight="1" x14ac:dyDescent="0.25">
      <c r="A287" s="147" t="s">
        <v>35</v>
      </c>
      <c r="B287" s="148"/>
      <c r="C287" s="183"/>
      <c r="D287" s="184"/>
      <c r="E287" s="185"/>
      <c r="F287" s="166" t="s">
        <v>38</v>
      </c>
      <c r="G287" s="167"/>
      <c r="H287" s="186"/>
      <c r="I287" s="186"/>
      <c r="J287" s="30">
        <f>IF(H288="Подвесной мотор",0,IF(H287="Литой",0.005,0))</f>
        <v>0</v>
      </c>
      <c r="K287" s="31" t="s">
        <v>39</v>
      </c>
      <c r="L287" s="32">
        <v>6</v>
      </c>
      <c r="M287" s="33" t="s">
        <v>40</v>
      </c>
      <c r="N287" s="34">
        <v>6.5000000000000002E-2</v>
      </c>
      <c r="O287" s="18" t="s">
        <v>41</v>
      </c>
      <c r="P287" s="35">
        <f>L287*L291*N292*0.0175/N287</f>
        <v>26.534173335486599</v>
      </c>
      <c r="Q287" s="187"/>
      <c r="R287" s="188"/>
    </row>
    <row r="288" spans="1:18" s="91" customFormat="1" ht="15" customHeight="1" thickBot="1" x14ac:dyDescent="0.3">
      <c r="A288" s="168"/>
      <c r="B288" s="169"/>
      <c r="C288" s="170"/>
      <c r="D288" s="171"/>
      <c r="E288" s="172"/>
      <c r="F288" s="166" t="s">
        <v>42</v>
      </c>
      <c r="G288" s="167"/>
      <c r="H288" s="173" t="s">
        <v>123</v>
      </c>
      <c r="I288" s="173"/>
      <c r="J288" s="30">
        <f>IF(H288="Без двигателя",1,IF(H288="Подвесной мотор",0.995,IF(H288="Привод в кронштейне",0.99,IF(H288="Открытый вал",0.98,IF(H288="Закрытый вал",0.97,IF(H288="В вырезе",0.96,"Установка ? "))))))</f>
        <v>0.995</v>
      </c>
      <c r="K288" s="31" t="s">
        <v>43</v>
      </c>
      <c r="L288" s="32">
        <v>12</v>
      </c>
      <c r="M288" s="33" t="s">
        <v>44</v>
      </c>
      <c r="N288" s="34">
        <v>0.125</v>
      </c>
      <c r="O288" s="18" t="s">
        <v>45</v>
      </c>
      <c r="P288" s="35">
        <f>L288*L291*N292*0.0175/N288</f>
        <v>27.595540268906063</v>
      </c>
      <c r="Q288" s="189"/>
      <c r="R288" s="190"/>
    </row>
    <row r="289" spans="1:18" s="91" customFormat="1" ht="15" customHeight="1" x14ac:dyDescent="0.25">
      <c r="A289" s="36"/>
      <c r="B289" s="37"/>
      <c r="C289" s="37"/>
      <c r="D289" s="37"/>
      <c r="E289" s="37"/>
      <c r="F289" s="144" t="s">
        <v>46</v>
      </c>
      <c r="G289" s="153"/>
      <c r="H289" s="154"/>
      <c r="I289" s="155"/>
      <c r="J289" s="156"/>
      <c r="K289" s="38" t="s">
        <v>47</v>
      </c>
      <c r="L289" s="32">
        <v>18</v>
      </c>
      <c r="M289" s="33" t="s">
        <v>48</v>
      </c>
      <c r="N289" s="34">
        <v>0.19400000000000001</v>
      </c>
      <c r="O289" s="18" t="s">
        <v>49</v>
      </c>
      <c r="P289" s="35">
        <f>L289*L291*N292*0.0175/N289</f>
        <v>26.670947424844776</v>
      </c>
      <c r="Q289" s="189"/>
      <c r="R289" s="190"/>
    </row>
    <row r="290" spans="1:18" s="91" customFormat="1" ht="15" customHeight="1" x14ac:dyDescent="0.25">
      <c r="A290" s="36"/>
      <c r="B290" s="37"/>
      <c r="C290" s="37"/>
      <c r="D290" s="37"/>
      <c r="E290" s="37"/>
      <c r="F290" s="39"/>
      <c r="G290" s="37"/>
      <c r="H290" s="37"/>
      <c r="I290" s="37"/>
      <c r="J290" s="37"/>
      <c r="K290" s="38" t="s">
        <v>50</v>
      </c>
      <c r="L290" s="40">
        <v>24</v>
      </c>
      <c r="M290" s="33" t="s">
        <v>51</v>
      </c>
      <c r="N290" s="34">
        <v>0.221</v>
      </c>
      <c r="O290" s="18" t="s">
        <v>52</v>
      </c>
      <c r="P290" s="35">
        <f>L290*L291*N292*0.0175/N290</f>
        <v>31.216674512337175</v>
      </c>
      <c r="Q290" s="189"/>
      <c r="R290" s="190"/>
    </row>
    <row r="291" spans="1:18" s="91" customFormat="1" ht="15" customHeight="1" x14ac:dyDescent="0.25">
      <c r="A291" s="197" t="s">
        <v>53</v>
      </c>
      <c r="B291" s="198"/>
      <c r="C291" s="41"/>
      <c r="D291" s="41"/>
      <c r="E291" s="41"/>
      <c r="F291" s="42"/>
      <c r="G291" s="41"/>
      <c r="H291" s="41"/>
      <c r="I291" s="41"/>
      <c r="J291" s="41"/>
      <c r="K291" s="31" t="s">
        <v>54</v>
      </c>
      <c r="L291" s="43">
        <v>8.2449999999999992</v>
      </c>
      <c r="M291" s="33" t="s">
        <v>55</v>
      </c>
      <c r="N291" s="34">
        <v>2</v>
      </c>
      <c r="O291" s="18" t="s">
        <v>56</v>
      </c>
      <c r="P291" s="44">
        <f>AVERAGE(P287:P290)</f>
        <v>28.004333885393653</v>
      </c>
      <c r="Q291" s="189"/>
      <c r="R291" s="190"/>
    </row>
    <row r="292" spans="1:18" s="91" customFormat="1" ht="15" customHeight="1" x14ac:dyDescent="0.25">
      <c r="A292" s="199"/>
      <c r="B292" s="200"/>
      <c r="C292" s="200"/>
      <c r="D292" s="200"/>
      <c r="E292" s="200"/>
      <c r="F292" s="200"/>
      <c r="G292" s="200"/>
      <c r="H292" s="200"/>
      <c r="I292" s="200"/>
      <c r="J292" s="201"/>
      <c r="K292" s="45" t="s">
        <v>57</v>
      </c>
      <c r="L292" s="34">
        <v>1.131</v>
      </c>
      <c r="M292" s="33" t="s">
        <v>58</v>
      </c>
      <c r="N292" s="46">
        <f>N291/(1+L292/L293)</f>
        <v>1.9922276321079198</v>
      </c>
      <c r="O292" s="47" t="s">
        <v>59</v>
      </c>
      <c r="P292" s="48">
        <f>3.281*((0.03*B296*B297^3*1025.8-54*P291)/L282-0.0625*B296)+0.25</f>
        <v>-0.91071662721844926</v>
      </c>
      <c r="Q292" s="191"/>
      <c r="R292" s="192"/>
    </row>
    <row r="293" spans="1:18" s="91" customFormat="1" ht="15" customHeight="1" thickBot="1" x14ac:dyDescent="0.3">
      <c r="A293" s="202"/>
      <c r="B293" s="203"/>
      <c r="C293" s="203"/>
      <c r="D293" s="203"/>
      <c r="E293" s="203"/>
      <c r="F293" s="203"/>
      <c r="G293" s="203"/>
      <c r="H293" s="203"/>
      <c r="I293" s="203"/>
      <c r="J293" s="204"/>
      <c r="K293" s="49" t="s">
        <v>60</v>
      </c>
      <c r="L293" s="50">
        <v>289.89999999999998</v>
      </c>
      <c r="M293" s="205" t="s">
        <v>61</v>
      </c>
      <c r="N293" s="206"/>
      <c r="O293" s="206"/>
      <c r="P293" s="207"/>
      <c r="Q293" s="208">
        <v>42575</v>
      </c>
      <c r="R293" s="208"/>
    </row>
    <row r="294" spans="1:18" s="91" customFormat="1" ht="15" customHeight="1" x14ac:dyDescent="0.25">
      <c r="A294" s="209" t="s">
        <v>62</v>
      </c>
      <c r="B294" s="210"/>
      <c r="C294" s="210"/>
      <c r="D294" s="210"/>
      <c r="E294" s="210"/>
      <c r="F294" s="210"/>
      <c r="G294" s="210"/>
      <c r="H294" s="210"/>
      <c r="I294" s="210"/>
      <c r="J294" s="211"/>
      <c r="K294" s="180" t="s">
        <v>63</v>
      </c>
      <c r="L294" s="181"/>
      <c r="M294" s="181"/>
      <c r="N294" s="181"/>
      <c r="O294" s="181"/>
      <c r="P294" s="181"/>
      <c r="Q294" s="181"/>
      <c r="R294" s="182"/>
    </row>
    <row r="295" spans="1:18" s="91" customFormat="1" ht="15" customHeight="1" x14ac:dyDescent="0.25">
      <c r="A295" s="242" t="s">
        <v>64</v>
      </c>
      <c r="B295" s="243"/>
      <c r="C295" s="244" t="s">
        <v>65</v>
      </c>
      <c r="D295" s="245"/>
      <c r="E295" s="246" t="s">
        <v>66</v>
      </c>
      <c r="F295" s="247"/>
      <c r="G295" s="142" t="s">
        <v>67</v>
      </c>
      <c r="H295" s="250"/>
      <c r="I295" s="250"/>
      <c r="J295" s="143"/>
      <c r="K295" s="193" t="s">
        <v>68</v>
      </c>
      <c r="L295" s="194"/>
      <c r="M295" s="195" t="s">
        <v>69</v>
      </c>
      <c r="N295" s="196"/>
      <c r="O295" s="227" t="s">
        <v>70</v>
      </c>
      <c r="P295" s="194"/>
      <c r="Q295" s="195" t="s">
        <v>71</v>
      </c>
      <c r="R295" s="228"/>
    </row>
    <row r="296" spans="1:18" s="91" customFormat="1" ht="15" customHeight="1" x14ac:dyDescent="0.25">
      <c r="A296" s="10" t="s">
        <v>72</v>
      </c>
      <c r="B296" s="44">
        <f>L283-L284-L285</f>
        <v>6.4099999999999993</v>
      </c>
      <c r="C296" s="51" t="s">
        <v>73</v>
      </c>
      <c r="D296" s="52">
        <f>0.125*L296*(L298+2*L299+3*L300+2*L297)</f>
        <v>9.2778000000000009</v>
      </c>
      <c r="E296" s="248"/>
      <c r="F296" s="249"/>
      <c r="G296" s="53" t="s">
        <v>74</v>
      </c>
      <c r="H296" s="54">
        <f>3600/(0.5*( D305+F305))</f>
        <v>793.0633380572765</v>
      </c>
      <c r="I296" s="55" t="s">
        <v>75</v>
      </c>
      <c r="J296" s="56">
        <f>I303</f>
        <v>5.2675102751624161</v>
      </c>
      <c r="K296" s="10" t="s">
        <v>76</v>
      </c>
      <c r="L296" s="57">
        <v>7.52</v>
      </c>
      <c r="M296" s="18" t="s">
        <v>77</v>
      </c>
      <c r="N296" s="57">
        <v>8.82</v>
      </c>
      <c r="O296" s="18" t="s">
        <v>78</v>
      </c>
      <c r="P296" s="58">
        <v>8.65</v>
      </c>
      <c r="Q296" s="18" t="s">
        <v>79</v>
      </c>
      <c r="R296" s="59"/>
    </row>
    <row r="297" spans="1:18" s="91" customFormat="1" ht="15" customHeight="1" x14ac:dyDescent="0.25">
      <c r="A297" s="10" t="s">
        <v>80</v>
      </c>
      <c r="B297" s="44">
        <f>N283-N284-N285</f>
        <v>2.0039999999999996</v>
      </c>
      <c r="C297" s="18" t="s">
        <v>81</v>
      </c>
      <c r="D297" s="52">
        <f>N296*N297*0.5</f>
        <v>18.036899999999999</v>
      </c>
      <c r="E297" s="60" t="s">
        <v>82</v>
      </c>
      <c r="F297" s="61">
        <f>0.85*B296*B297</f>
        <v>10.918793999999997</v>
      </c>
      <c r="G297" s="62" t="s">
        <v>83</v>
      </c>
      <c r="H297" s="63">
        <f>3600/H296</f>
        <v>4.5393600072583373</v>
      </c>
      <c r="I297" s="64" t="s">
        <v>84</v>
      </c>
      <c r="J297" s="56">
        <f>I304</f>
        <v>9.3883944928127701</v>
      </c>
      <c r="K297" s="65" t="s">
        <v>85</v>
      </c>
      <c r="L297" s="57">
        <v>2.0699999999999998</v>
      </c>
      <c r="M297" s="18" t="s">
        <v>86</v>
      </c>
      <c r="N297" s="57">
        <v>4.09</v>
      </c>
      <c r="O297" s="18" t="s">
        <v>87</v>
      </c>
      <c r="P297" s="58">
        <v>4.87</v>
      </c>
      <c r="Q297" s="18" t="s">
        <v>88</v>
      </c>
      <c r="R297" s="59"/>
    </row>
    <row r="298" spans="1:18" s="91" customFormat="1" ht="15" customHeight="1" x14ac:dyDescent="0.25">
      <c r="A298" s="66" t="s">
        <v>89</v>
      </c>
      <c r="B298" s="67">
        <f>IF(H285&gt;2012,1,IF(H285&gt;2008,0.995,0.99))</f>
        <v>0.99</v>
      </c>
      <c r="C298" s="18" t="s">
        <v>90</v>
      </c>
      <c r="D298" s="52">
        <f>0.5*P298*P296+2*(P297-0.5*P298)*P296/3</f>
        <v>35.594750000000005</v>
      </c>
      <c r="E298" s="68"/>
      <c r="F298" s="69"/>
      <c r="G298" s="69"/>
      <c r="H298" s="69"/>
      <c r="I298" s="70"/>
      <c r="J298" s="71"/>
      <c r="K298" s="10" t="s">
        <v>91</v>
      </c>
      <c r="L298" s="72">
        <v>0.13</v>
      </c>
      <c r="M298" s="227"/>
      <c r="N298" s="194"/>
      <c r="O298" s="18" t="s">
        <v>92</v>
      </c>
      <c r="P298" s="73">
        <v>5.21</v>
      </c>
      <c r="Q298" s="18" t="s">
        <v>93</v>
      </c>
      <c r="R298" s="59"/>
    </row>
    <row r="299" spans="1:18" s="91" customFormat="1" ht="15" customHeight="1" x14ac:dyDescent="0.25">
      <c r="A299" s="10" t="s">
        <v>94</v>
      </c>
      <c r="B299" s="35">
        <f>J288-J287</f>
        <v>0.995</v>
      </c>
      <c r="C299" s="18" t="s">
        <v>95</v>
      </c>
      <c r="D299" s="52">
        <f>(0.5*(R296+R297)*(R298+4*R299))/6</f>
        <v>0</v>
      </c>
      <c r="E299" s="74"/>
      <c r="F299" s="74"/>
      <c r="G299" s="74"/>
      <c r="H299" s="74"/>
      <c r="I299" s="74"/>
      <c r="J299" s="74"/>
      <c r="K299" s="10" t="s">
        <v>96</v>
      </c>
      <c r="L299" s="75">
        <v>0.79</v>
      </c>
      <c r="M299" s="187"/>
      <c r="N299" s="229"/>
      <c r="O299" s="229"/>
      <c r="P299" s="230"/>
      <c r="Q299" s="18" t="s">
        <v>97</v>
      </c>
      <c r="R299" s="59"/>
    </row>
    <row r="300" spans="1:18" s="91" customFormat="1" ht="15" customHeight="1" x14ac:dyDescent="0.25">
      <c r="A300" s="10" t="s">
        <v>98</v>
      </c>
      <c r="B300" s="67">
        <f>IF(H286="шверт",1.005,1)</f>
        <v>1</v>
      </c>
      <c r="C300" s="16" t="s">
        <v>99</v>
      </c>
      <c r="D300" s="76">
        <f>D296+MAX(D298,D297,D299)</f>
        <v>44.872550000000004</v>
      </c>
      <c r="E300" s="77"/>
      <c r="F300" s="78"/>
      <c r="G300" s="78"/>
      <c r="H300" s="78"/>
      <c r="I300" s="78"/>
      <c r="J300" s="78"/>
      <c r="K300" s="10" t="s">
        <v>100</v>
      </c>
      <c r="L300" s="75">
        <v>1.34</v>
      </c>
      <c r="M300" s="191"/>
      <c r="N300" s="231"/>
      <c r="O300" s="231"/>
      <c r="P300" s="232"/>
      <c r="Q300" s="227"/>
      <c r="R300" s="233"/>
    </row>
    <row r="301" spans="1:18" s="91" customFormat="1" ht="15" customHeight="1" x14ac:dyDescent="0.25">
      <c r="A301" s="234"/>
      <c r="B301" s="235"/>
      <c r="C301" s="16" t="s">
        <v>101</v>
      </c>
      <c r="D301" s="79">
        <f>D296+D297</f>
        <v>27.314700000000002</v>
      </c>
      <c r="E301" s="236" t="s">
        <v>102</v>
      </c>
      <c r="F301" s="237"/>
      <c r="G301" s="237"/>
      <c r="H301" s="237"/>
      <c r="I301" s="238"/>
      <c r="J301" s="80" t="s">
        <v>103</v>
      </c>
      <c r="K301" s="239"/>
      <c r="L301" s="240"/>
      <c r="M301" s="240"/>
      <c r="N301" s="240"/>
      <c r="O301" s="240"/>
      <c r="P301" s="240"/>
      <c r="Q301" s="240"/>
      <c r="R301" s="241"/>
    </row>
    <row r="302" spans="1:18" s="91" customFormat="1" ht="15" customHeight="1" thickBot="1" x14ac:dyDescent="0.3">
      <c r="A302" s="212" t="s">
        <v>104</v>
      </c>
      <c r="B302" s="213"/>
      <c r="C302" s="81">
        <v>6</v>
      </c>
      <c r="D302" s="81">
        <v>8</v>
      </c>
      <c r="E302" s="81">
        <v>10</v>
      </c>
      <c r="F302" s="81">
        <v>12</v>
      </c>
      <c r="G302" s="81">
        <v>14</v>
      </c>
      <c r="H302" s="81">
        <v>16</v>
      </c>
      <c r="I302" s="82">
        <v>20</v>
      </c>
      <c r="J302" s="97">
        <f>AVERAGE(J303:J309)</f>
        <v>5.1483043927293011</v>
      </c>
      <c r="K302" s="164" t="s">
        <v>105</v>
      </c>
      <c r="L302" s="165"/>
      <c r="M302" s="214" t="str">
        <f>IF(P292&gt;-0.25,"SV непригодно для категории гонок 0,1,2 и3"," ")</f>
        <v xml:space="preserve"> </v>
      </c>
      <c r="N302" s="215"/>
      <c r="O302" s="215"/>
      <c r="P302" s="215"/>
      <c r="Q302" s="215"/>
      <c r="R302" s="216"/>
    </row>
    <row r="303" spans="1:18" s="91" customFormat="1" ht="15" customHeight="1" x14ac:dyDescent="0.25">
      <c r="A303" s="217" t="s">
        <v>106</v>
      </c>
      <c r="B303" s="218"/>
      <c r="C303" s="63">
        <f>SQRT(C302/I302)*I303</f>
        <v>2.8851341995966995</v>
      </c>
      <c r="D303" s="63">
        <f>SQRT(D302/I302)*I303</f>
        <v>3.3314660135707004</v>
      </c>
      <c r="E303" s="63">
        <f>SQRT(E302/I302)*I303</f>
        <v>3.7246922355371614</v>
      </c>
      <c r="F303" s="63">
        <f>SQRT(F302/I302)*I303</f>
        <v>4.0801959143360973</v>
      </c>
      <c r="G303" s="63">
        <f>SQRT(G302/I302)*I303</f>
        <v>4.4071152865859027</v>
      </c>
      <c r="H303" s="63">
        <f>SQRT(H302/I302)*I303</f>
        <v>4.7114044189767137</v>
      </c>
      <c r="I303" s="63">
        <f>(D301^(0.25)/((0.001*L282)^(1/6)))*(SQRT(B296)*B298*B299)</f>
        <v>5.2675102751624161</v>
      </c>
      <c r="J303" s="84">
        <f t="shared" ref="J303:J309" si="48">AVERAGE(C303:I303)</f>
        <v>4.058216906252242</v>
      </c>
      <c r="K303" s="219" t="s">
        <v>107</v>
      </c>
      <c r="L303" s="220"/>
      <c r="M303" s="221" t="s">
        <v>170</v>
      </c>
      <c r="N303" s="222"/>
      <c r="O303" s="222"/>
      <c r="P303" s="222"/>
      <c r="Q303" s="222"/>
      <c r="R303" s="223"/>
    </row>
    <row r="304" spans="1:18" s="91" customFormat="1" ht="15" customHeight="1" x14ac:dyDescent="0.25">
      <c r="A304" s="217" t="s">
        <v>108</v>
      </c>
      <c r="B304" s="218"/>
      <c r="C304" s="63">
        <f>SQRT(C302/I302)*SQRT(D300/(SQRT(0.69)*F297))*SQRT(B296)*B298*B299*B300</f>
        <v>3.0383561780144435</v>
      </c>
      <c r="D304" s="63">
        <f>SQRT(D302/I302)*SQRT(D300/(0.52*F297))*SQRT(B296)*B298*B299*B300</f>
        <v>4.4342344612272893</v>
      </c>
      <c r="E304" s="63">
        <f>SQRT(E302/I302)*SQRT(D300/(0.44*F297))*SQRT(B296)*B298*B299*B300</f>
        <v>5.3895064112710962</v>
      </c>
      <c r="F304" s="63">
        <f>SQRT(F302/I302)*SQRT(D300/(0.385*F297))*SQRT(B296)*B298*B299*B300</f>
        <v>6.3115436398992619</v>
      </c>
      <c r="G304" s="63">
        <f>SQRT(G302/I302)*SQRT(D300/(0.35*F297))*SQRT(B296)*B298*B299*B300</f>
        <v>7.1499882285604333</v>
      </c>
      <c r="H304" s="63">
        <f>SQRT(H302/I302)*SQRT(D300/(0.323*F297))*SQRT(B296)*B298*B299*B300</f>
        <v>7.9567197426592342</v>
      </c>
      <c r="I304" s="63">
        <f>SQRT(D300/(0.29*F297))*SQRT(B296)*B298*B299*B300</f>
        <v>9.3883944928127701</v>
      </c>
      <c r="J304" s="84">
        <f t="shared" si="48"/>
        <v>6.2383918792063611</v>
      </c>
      <c r="K304" s="85" t="s">
        <v>109</v>
      </c>
      <c r="L304" s="86"/>
      <c r="M304" s="87">
        <v>42575</v>
      </c>
      <c r="N304" s="268"/>
      <c r="O304" s="269"/>
      <c r="P304" s="269"/>
      <c r="Q304" s="269"/>
      <c r="R304" s="270"/>
    </row>
    <row r="305" spans="1:18" s="91" customFormat="1" ht="15" customHeight="1" x14ac:dyDescent="0.25">
      <c r="A305" s="251" t="s">
        <v>110</v>
      </c>
      <c r="B305" s="252"/>
      <c r="C305" s="63">
        <f>0.5*(C303+C304)</f>
        <v>2.9617451888055717</v>
      </c>
      <c r="D305" s="63">
        <f t="shared" ref="D305:I305" si="49">0.5*(D303+D304)</f>
        <v>3.882850237398995</v>
      </c>
      <c r="E305" s="63">
        <f t="shared" si="49"/>
        <v>4.5570993234041293</v>
      </c>
      <c r="F305" s="63">
        <f t="shared" si="49"/>
        <v>5.1958697771176796</v>
      </c>
      <c r="G305" s="63">
        <f t="shared" si="49"/>
        <v>5.778551757573168</v>
      </c>
      <c r="H305" s="63">
        <f t="shared" si="49"/>
        <v>6.3340620808179739</v>
      </c>
      <c r="I305" s="63">
        <f t="shared" si="49"/>
        <v>7.3279523839875935</v>
      </c>
      <c r="J305" s="84">
        <f t="shared" si="48"/>
        <v>5.148304392729302</v>
      </c>
      <c r="K305" s="166" t="s">
        <v>111</v>
      </c>
      <c r="L305" s="167"/>
      <c r="M305" s="87">
        <v>42855</v>
      </c>
      <c r="N305" s="271"/>
      <c r="O305" s="272"/>
      <c r="P305" s="272"/>
      <c r="Q305" s="272"/>
      <c r="R305" s="273"/>
    </row>
    <row r="306" spans="1:18" s="91" customFormat="1" ht="15" customHeight="1" x14ac:dyDescent="0.25">
      <c r="A306" s="251" t="s">
        <v>112</v>
      </c>
      <c r="B306" s="252"/>
      <c r="C306" s="63">
        <f>0.85*C303+0.15*C304</f>
        <v>2.908117496359361</v>
      </c>
      <c r="D306" s="63">
        <f t="shared" ref="D306:I306" si="50">0.85*D303+0.15*D304</f>
        <v>3.4968812807191885</v>
      </c>
      <c r="E306" s="63">
        <f t="shared" si="50"/>
        <v>3.9744143618972512</v>
      </c>
      <c r="F306" s="63">
        <f t="shared" si="50"/>
        <v>4.4148980731705718</v>
      </c>
      <c r="G306" s="63">
        <f t="shared" si="50"/>
        <v>4.8185462278820825</v>
      </c>
      <c r="H306" s="63">
        <f t="shared" si="50"/>
        <v>5.1982017175290922</v>
      </c>
      <c r="I306" s="63">
        <f t="shared" si="50"/>
        <v>5.8856429078099692</v>
      </c>
      <c r="J306" s="84">
        <f t="shared" si="48"/>
        <v>4.3852431521953594</v>
      </c>
      <c r="K306" s="224" t="s">
        <v>113</v>
      </c>
      <c r="L306" s="225"/>
      <c r="M306" s="184"/>
      <c r="N306" s="274"/>
      <c r="O306" s="274"/>
      <c r="P306" s="274"/>
      <c r="Q306" s="274"/>
      <c r="R306" s="185"/>
    </row>
    <row r="307" spans="1:18" s="91" customFormat="1" ht="15" customHeight="1" x14ac:dyDescent="0.25">
      <c r="A307" s="251" t="s">
        <v>114</v>
      </c>
      <c r="B307" s="252"/>
      <c r="C307" s="63">
        <f>0.75*C303+0.25*C304</f>
        <v>2.9234396942011358</v>
      </c>
      <c r="D307" s="63">
        <f t="shared" ref="D307:I307" si="51">0.75*D303+0.25*D304</f>
        <v>3.6071581254848475</v>
      </c>
      <c r="E307" s="63">
        <f t="shared" si="51"/>
        <v>4.1408957794706449</v>
      </c>
      <c r="F307" s="63">
        <f t="shared" si="51"/>
        <v>4.6380328457268885</v>
      </c>
      <c r="G307" s="63">
        <f t="shared" si="51"/>
        <v>5.0928335220795358</v>
      </c>
      <c r="H307" s="63">
        <f t="shared" si="51"/>
        <v>5.5227332498973443</v>
      </c>
      <c r="I307" s="63">
        <f t="shared" si="51"/>
        <v>6.2977313295750044</v>
      </c>
      <c r="J307" s="84">
        <f t="shared" si="48"/>
        <v>4.603260649490772</v>
      </c>
      <c r="K307" s="253"/>
      <c r="L307" s="254"/>
      <c r="M307" s="254"/>
      <c r="N307" s="254"/>
      <c r="O307" s="254"/>
      <c r="P307" s="254"/>
      <c r="Q307" s="254"/>
      <c r="R307" s="255"/>
    </row>
    <row r="308" spans="1:18" s="91" customFormat="1" ht="15" customHeight="1" x14ac:dyDescent="0.25">
      <c r="A308" s="259" t="s">
        <v>115</v>
      </c>
      <c r="B308" s="260"/>
      <c r="C308" s="63">
        <f>0.25*C303+0.75*C304</f>
        <v>3.0000506834100076</v>
      </c>
      <c r="D308" s="63">
        <f t="shared" ref="D308:I308" si="52">0.25*D303+0.75*D304</f>
        <v>4.1585423493131417</v>
      </c>
      <c r="E308" s="63">
        <f t="shared" si="52"/>
        <v>4.9733028673376127</v>
      </c>
      <c r="F308" s="63">
        <f t="shared" si="52"/>
        <v>5.7537067085084708</v>
      </c>
      <c r="G308" s="63">
        <f t="shared" si="52"/>
        <v>6.4642699930668011</v>
      </c>
      <c r="H308" s="63">
        <f t="shared" si="52"/>
        <v>7.1453909117386036</v>
      </c>
      <c r="I308" s="63">
        <f t="shared" si="52"/>
        <v>8.3581734384001809</v>
      </c>
      <c r="J308" s="84">
        <f t="shared" si="48"/>
        <v>5.6933481359678311</v>
      </c>
      <c r="K308" s="256"/>
      <c r="L308" s="257"/>
      <c r="M308" s="257"/>
      <c r="N308" s="257"/>
      <c r="O308" s="257"/>
      <c r="P308" s="257"/>
      <c r="Q308" s="257"/>
      <c r="R308" s="258"/>
    </row>
    <row r="309" spans="1:18" s="91" customFormat="1" ht="15" customHeight="1" thickBot="1" x14ac:dyDescent="0.3">
      <c r="A309" s="261" t="s">
        <v>116</v>
      </c>
      <c r="B309" s="262"/>
      <c r="C309" s="88">
        <f>0.15*C303+0.85*C304</f>
        <v>3.0153728812517819</v>
      </c>
      <c r="D309" s="88">
        <f t="shared" ref="D309:I309" si="53">0.15*D303+0.85*D304</f>
        <v>4.2688191940788007</v>
      </c>
      <c r="E309" s="88">
        <f t="shared" si="53"/>
        <v>5.1397842849110056</v>
      </c>
      <c r="F309" s="88">
        <f t="shared" si="53"/>
        <v>5.9768414810647874</v>
      </c>
      <c r="G309" s="88">
        <f t="shared" si="53"/>
        <v>6.7385572872642534</v>
      </c>
      <c r="H309" s="88">
        <f t="shared" si="53"/>
        <v>7.4699224441068557</v>
      </c>
      <c r="I309" s="88">
        <f t="shared" si="53"/>
        <v>8.7702618601652169</v>
      </c>
      <c r="J309" s="89">
        <f t="shared" si="48"/>
        <v>5.9113656332632427</v>
      </c>
      <c r="K309" s="263"/>
      <c r="L309" s="264"/>
      <c r="M309" s="264"/>
      <c r="N309" s="264"/>
      <c r="O309" s="264"/>
      <c r="P309" s="265"/>
      <c r="Q309" s="266" t="s">
        <v>0</v>
      </c>
      <c r="R309" s="267"/>
    </row>
    <row r="310" spans="1:18" s="91" customFormat="1" ht="15" customHeight="1" thickBot="1" x14ac:dyDescent="0.3">
      <c r="A310" s="90">
        <v>10</v>
      </c>
      <c r="B310" s="124" t="s">
        <v>117</v>
      </c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</row>
    <row r="311" spans="1:18" s="91" customFormat="1" ht="15" customHeight="1" thickBot="1" x14ac:dyDescent="0.3">
      <c r="A311" s="127" t="s">
        <v>0</v>
      </c>
      <c r="B311" s="128"/>
      <c r="C311" s="128"/>
      <c r="D311" s="128"/>
      <c r="E311" s="129"/>
      <c r="F311" s="130" t="s">
        <v>1</v>
      </c>
      <c r="G311" s="131"/>
      <c r="H311" s="132"/>
      <c r="I311" s="1" t="str">
        <f>CONCATENATE(B313,".01")</f>
        <v>169.01</v>
      </c>
      <c r="J311" s="2" t="s">
        <v>2</v>
      </c>
      <c r="K311" s="133" t="s">
        <v>3</v>
      </c>
      <c r="L311" s="134"/>
      <c r="M311" s="135"/>
      <c r="N311" s="3" t="str">
        <f>I311</f>
        <v>169.01</v>
      </c>
      <c r="O311" s="136" t="s">
        <v>4</v>
      </c>
      <c r="P311" s="137"/>
      <c r="Q311" s="138"/>
      <c r="R311" s="4" t="s">
        <v>5</v>
      </c>
    </row>
    <row r="312" spans="1:18" s="91" customFormat="1" ht="15" customHeight="1" x14ac:dyDescent="0.25">
      <c r="A312" s="139" t="s">
        <v>194</v>
      </c>
      <c r="B312" s="140"/>
      <c r="C312" s="141"/>
      <c r="D312" s="142" t="s">
        <v>6</v>
      </c>
      <c r="E312" s="143"/>
      <c r="F312" s="144" t="s">
        <v>7</v>
      </c>
      <c r="G312" s="145"/>
      <c r="H312" s="145"/>
      <c r="I312" s="145"/>
      <c r="J312" s="146"/>
      <c r="K312" s="147" t="s">
        <v>8</v>
      </c>
      <c r="L312" s="148"/>
      <c r="M312" s="148"/>
      <c r="N312" s="149"/>
      <c r="O312" s="150" t="s">
        <v>9</v>
      </c>
      <c r="P312" s="151"/>
      <c r="Q312" s="151"/>
      <c r="R312" s="152"/>
    </row>
    <row r="313" spans="1:18" s="91" customFormat="1" ht="15" customHeight="1" x14ac:dyDescent="0.25">
      <c r="A313" s="5" t="s">
        <v>10</v>
      </c>
      <c r="B313" s="6">
        <v>169</v>
      </c>
      <c r="C313" s="7"/>
      <c r="D313" s="157">
        <f>INT(457468*H327^(-1.475))</f>
        <v>33</v>
      </c>
      <c r="E313" s="158"/>
      <c r="F313" s="8" t="s">
        <v>11</v>
      </c>
      <c r="G313" s="9"/>
      <c r="H313" s="159" t="s">
        <v>119</v>
      </c>
      <c r="I313" s="160"/>
      <c r="J313" s="161"/>
      <c r="K313" s="10" t="s">
        <v>12</v>
      </c>
      <c r="L313" s="11">
        <v>1540</v>
      </c>
      <c r="M313" s="162"/>
      <c r="N313" s="163"/>
      <c r="O313" s="12" t="s">
        <v>13</v>
      </c>
      <c r="P313" s="13"/>
      <c r="Q313" s="14" t="s">
        <v>14</v>
      </c>
      <c r="R313" s="15"/>
    </row>
    <row r="314" spans="1:18" s="91" customFormat="1" ht="15" customHeight="1" x14ac:dyDescent="0.25">
      <c r="A314" s="164"/>
      <c r="B314" s="165"/>
      <c r="C314" s="16"/>
      <c r="D314" s="157" t="s">
        <v>217</v>
      </c>
      <c r="E314" s="158"/>
      <c r="F314" s="166" t="s">
        <v>15</v>
      </c>
      <c r="G314" s="167"/>
      <c r="H314" s="159" t="s">
        <v>120</v>
      </c>
      <c r="I314" s="160"/>
      <c r="J314" s="161"/>
      <c r="K314" s="10" t="s">
        <v>16</v>
      </c>
      <c r="L314" s="17">
        <v>7.96</v>
      </c>
      <c r="M314" s="18" t="s">
        <v>17</v>
      </c>
      <c r="N314" s="19">
        <v>2.4980000000000002</v>
      </c>
      <c r="O314" s="20" t="s">
        <v>18</v>
      </c>
      <c r="P314" s="21"/>
      <c r="Q314" s="22" t="s">
        <v>19</v>
      </c>
      <c r="R314" s="23"/>
    </row>
    <row r="315" spans="1:18" s="91" customFormat="1" ht="15" customHeight="1" x14ac:dyDescent="0.25">
      <c r="A315" s="174" t="s">
        <v>20</v>
      </c>
      <c r="B315" s="175"/>
      <c r="C315" s="176"/>
      <c r="D315" s="125" t="s">
        <v>21</v>
      </c>
      <c r="E315" s="126"/>
      <c r="F315" s="166" t="s">
        <v>22</v>
      </c>
      <c r="G315" s="167"/>
      <c r="H315" s="159" t="s">
        <v>121</v>
      </c>
      <c r="I315" s="160"/>
      <c r="J315" s="161"/>
      <c r="K315" s="10" t="s">
        <v>23</v>
      </c>
      <c r="L315" s="17"/>
      <c r="M315" s="18" t="s">
        <v>24</v>
      </c>
      <c r="N315" s="19"/>
      <c r="O315" s="20" t="s">
        <v>25</v>
      </c>
      <c r="P315" s="21"/>
      <c r="Q315" s="22" t="s">
        <v>26</v>
      </c>
      <c r="R315" s="23"/>
    </row>
    <row r="316" spans="1:18" s="91" customFormat="1" ht="15" customHeight="1" thickBot="1" x14ac:dyDescent="0.3">
      <c r="A316" s="174" t="s">
        <v>27</v>
      </c>
      <c r="B316" s="175"/>
      <c r="C316" s="176"/>
      <c r="D316" s="177" t="s">
        <v>28</v>
      </c>
      <c r="E316" s="149"/>
      <c r="F316" s="224" t="s">
        <v>29</v>
      </c>
      <c r="G316" s="225"/>
      <c r="H316" s="173">
        <v>2012</v>
      </c>
      <c r="I316" s="178"/>
      <c r="J316" s="226"/>
      <c r="K316" s="24" t="s">
        <v>30</v>
      </c>
      <c r="L316" s="17"/>
      <c r="M316" s="25" t="s">
        <v>31</v>
      </c>
      <c r="N316" s="19"/>
      <c r="O316" s="26" t="s">
        <v>32</v>
      </c>
      <c r="P316" s="27"/>
      <c r="Q316" s="28" t="s">
        <v>33</v>
      </c>
      <c r="R316" s="29"/>
    </row>
    <row r="317" spans="1:18" s="91" customFormat="1" ht="15" customHeight="1" x14ac:dyDescent="0.25">
      <c r="A317" s="174" t="s">
        <v>34</v>
      </c>
      <c r="B317" s="175"/>
      <c r="C317" s="176"/>
      <c r="D317" s="177" t="s">
        <v>35</v>
      </c>
      <c r="E317" s="149"/>
      <c r="F317" s="166" t="s">
        <v>36</v>
      </c>
      <c r="G317" s="167"/>
      <c r="H317" s="173" t="s">
        <v>122</v>
      </c>
      <c r="I317" s="178"/>
      <c r="J317" s="179"/>
      <c r="K317" s="180" t="s">
        <v>37</v>
      </c>
      <c r="L317" s="181"/>
      <c r="M317" s="181"/>
      <c r="N317" s="181"/>
      <c r="O317" s="181"/>
      <c r="P317" s="181"/>
      <c r="Q317" s="181"/>
      <c r="R317" s="182"/>
    </row>
    <row r="318" spans="1:18" s="91" customFormat="1" ht="15" customHeight="1" x14ac:dyDescent="0.25">
      <c r="A318" s="147" t="s">
        <v>35</v>
      </c>
      <c r="B318" s="148"/>
      <c r="C318" s="183"/>
      <c r="D318" s="184"/>
      <c r="E318" s="185"/>
      <c r="F318" s="166" t="s">
        <v>38</v>
      </c>
      <c r="G318" s="167"/>
      <c r="H318" s="186"/>
      <c r="I318" s="186"/>
      <c r="J318" s="30">
        <f>IF(H319="Подвесной мотор",0,IF(H318="Литой",0.005,0))</f>
        <v>0</v>
      </c>
      <c r="K318" s="31" t="s">
        <v>39</v>
      </c>
      <c r="L318" s="32"/>
      <c r="M318" s="33" t="s">
        <v>40</v>
      </c>
      <c r="N318" s="34"/>
      <c r="O318" s="18" t="s">
        <v>41</v>
      </c>
      <c r="P318" s="35" t="e">
        <f>L318*L322*N323*0.0175/N318</f>
        <v>#DIV/0!</v>
      </c>
      <c r="Q318" s="187"/>
      <c r="R318" s="188"/>
    </row>
    <row r="319" spans="1:18" s="91" customFormat="1" ht="15" customHeight="1" thickBot="1" x14ac:dyDescent="0.3">
      <c r="A319" s="168"/>
      <c r="B319" s="169"/>
      <c r="C319" s="170"/>
      <c r="D319" s="171"/>
      <c r="E319" s="172"/>
      <c r="F319" s="166" t="s">
        <v>42</v>
      </c>
      <c r="G319" s="167"/>
      <c r="H319" s="173" t="s">
        <v>123</v>
      </c>
      <c r="I319" s="173"/>
      <c r="J319" s="30">
        <f>IF(H319="Без двигателя",1,IF(H319="Подвесной мотор",0.995,IF(H319="Привод в кронштейне",0.99,IF(H319="Открытый вал",0.98,IF(H319="Закрытый вал",0.97,IF(H319="В вырезе",0.96,"Установка ? "))))))</f>
        <v>0.995</v>
      </c>
      <c r="K319" s="31" t="s">
        <v>43</v>
      </c>
      <c r="L319" s="32"/>
      <c r="M319" s="33" t="s">
        <v>44</v>
      </c>
      <c r="N319" s="34"/>
      <c r="O319" s="18" t="s">
        <v>45</v>
      </c>
      <c r="P319" s="35" t="e">
        <f>L319*L322*N323*0.0175/N319</f>
        <v>#DIV/0!</v>
      </c>
      <c r="Q319" s="189"/>
      <c r="R319" s="190"/>
    </row>
    <row r="320" spans="1:18" s="91" customFormat="1" ht="15" customHeight="1" x14ac:dyDescent="0.25">
      <c r="A320" s="36"/>
      <c r="B320" s="37"/>
      <c r="C320" s="37"/>
      <c r="D320" s="37"/>
      <c r="E320" s="37"/>
      <c r="F320" s="144" t="s">
        <v>46</v>
      </c>
      <c r="G320" s="153"/>
      <c r="H320" s="154"/>
      <c r="I320" s="155"/>
      <c r="J320" s="156"/>
      <c r="K320" s="38" t="s">
        <v>47</v>
      </c>
      <c r="L320" s="32"/>
      <c r="M320" s="33" t="s">
        <v>48</v>
      </c>
      <c r="N320" s="34"/>
      <c r="O320" s="18" t="s">
        <v>49</v>
      </c>
      <c r="P320" s="35" t="e">
        <f>L320*L322*N323*0.0175/N320</f>
        <v>#DIV/0!</v>
      </c>
      <c r="Q320" s="189"/>
      <c r="R320" s="190"/>
    </row>
    <row r="321" spans="1:18" s="91" customFormat="1" ht="15" customHeight="1" x14ac:dyDescent="0.25">
      <c r="A321" s="36"/>
      <c r="B321" s="37"/>
      <c r="C321" s="37"/>
      <c r="D321" s="37"/>
      <c r="E321" s="37"/>
      <c r="F321" s="39"/>
      <c r="G321" s="37"/>
      <c r="H321" s="37"/>
      <c r="I321" s="37"/>
      <c r="J321" s="37"/>
      <c r="K321" s="38" t="s">
        <v>50</v>
      </c>
      <c r="L321" s="40"/>
      <c r="M321" s="33" t="s">
        <v>51</v>
      </c>
      <c r="N321" s="34"/>
      <c r="O321" s="18" t="s">
        <v>52</v>
      </c>
      <c r="P321" s="35" t="e">
        <f>L321*L322*N323*0.0175/N321</f>
        <v>#DIV/0!</v>
      </c>
      <c r="Q321" s="189"/>
      <c r="R321" s="190"/>
    </row>
    <row r="322" spans="1:18" s="91" customFormat="1" ht="15" customHeight="1" x14ac:dyDescent="0.25">
      <c r="A322" s="197" t="s">
        <v>53</v>
      </c>
      <c r="B322" s="198"/>
      <c r="C322" s="41"/>
      <c r="D322" s="41"/>
      <c r="E322" s="41"/>
      <c r="F322" s="42"/>
      <c r="G322" s="41"/>
      <c r="H322" s="41"/>
      <c r="I322" s="41"/>
      <c r="J322" s="41"/>
      <c r="K322" s="31" t="s">
        <v>54</v>
      </c>
      <c r="L322" s="43"/>
      <c r="M322" s="33" t="s">
        <v>55</v>
      </c>
      <c r="N322" s="34"/>
      <c r="O322" s="18" t="s">
        <v>56</v>
      </c>
      <c r="P322" s="44" t="e">
        <f>AVERAGE(P318:P321)</f>
        <v>#DIV/0!</v>
      </c>
      <c r="Q322" s="189"/>
      <c r="R322" s="190"/>
    </row>
    <row r="323" spans="1:18" s="91" customFormat="1" ht="15" customHeight="1" x14ac:dyDescent="0.25">
      <c r="A323" s="199"/>
      <c r="B323" s="200"/>
      <c r="C323" s="200"/>
      <c r="D323" s="200"/>
      <c r="E323" s="200"/>
      <c r="F323" s="200"/>
      <c r="G323" s="200"/>
      <c r="H323" s="200"/>
      <c r="I323" s="200"/>
      <c r="J323" s="201"/>
      <c r="K323" s="45" t="s">
        <v>57</v>
      </c>
      <c r="L323" s="34"/>
      <c r="M323" s="33" t="s">
        <v>58</v>
      </c>
      <c r="N323" s="46" t="e">
        <f>N322/(1+L323/L324)</f>
        <v>#DIV/0!</v>
      </c>
      <c r="O323" s="47" t="s">
        <v>59</v>
      </c>
      <c r="P323" s="48" t="e">
        <f>3.281*((0.03*B327*B328^3*1025.8-54*P322)/L313-0.0625*B327)+0.25</f>
        <v>#DIV/0!</v>
      </c>
      <c r="Q323" s="191"/>
      <c r="R323" s="192"/>
    </row>
    <row r="324" spans="1:18" s="91" customFormat="1" ht="15" customHeight="1" thickBot="1" x14ac:dyDescent="0.3">
      <c r="A324" s="202"/>
      <c r="B324" s="203"/>
      <c r="C324" s="203"/>
      <c r="D324" s="203"/>
      <c r="E324" s="203"/>
      <c r="F324" s="203"/>
      <c r="G324" s="203"/>
      <c r="H324" s="203"/>
      <c r="I324" s="203"/>
      <c r="J324" s="204"/>
      <c r="K324" s="49" t="s">
        <v>60</v>
      </c>
      <c r="L324" s="50"/>
      <c r="M324" s="205" t="s">
        <v>61</v>
      </c>
      <c r="N324" s="206"/>
      <c r="O324" s="206"/>
      <c r="P324" s="207"/>
      <c r="Q324" s="208">
        <v>2013</v>
      </c>
      <c r="R324" s="208"/>
    </row>
    <row r="325" spans="1:18" s="91" customFormat="1" ht="15" customHeight="1" x14ac:dyDescent="0.25">
      <c r="A325" s="209" t="s">
        <v>62</v>
      </c>
      <c r="B325" s="210"/>
      <c r="C325" s="210"/>
      <c r="D325" s="210"/>
      <c r="E325" s="210"/>
      <c r="F325" s="210"/>
      <c r="G325" s="210"/>
      <c r="H325" s="210"/>
      <c r="I325" s="210"/>
      <c r="J325" s="211"/>
      <c r="K325" s="180" t="s">
        <v>63</v>
      </c>
      <c r="L325" s="181"/>
      <c r="M325" s="181"/>
      <c r="N325" s="181"/>
      <c r="O325" s="181"/>
      <c r="P325" s="181"/>
      <c r="Q325" s="181"/>
      <c r="R325" s="182"/>
    </row>
    <row r="326" spans="1:18" s="91" customFormat="1" ht="15" customHeight="1" x14ac:dyDescent="0.25">
      <c r="A326" s="242" t="s">
        <v>64</v>
      </c>
      <c r="B326" s="243"/>
      <c r="C326" s="244" t="s">
        <v>65</v>
      </c>
      <c r="D326" s="245"/>
      <c r="E326" s="246" t="s">
        <v>66</v>
      </c>
      <c r="F326" s="247"/>
      <c r="G326" s="142" t="s">
        <v>67</v>
      </c>
      <c r="H326" s="250"/>
      <c r="I326" s="250"/>
      <c r="J326" s="143"/>
      <c r="K326" s="193" t="s">
        <v>68</v>
      </c>
      <c r="L326" s="194"/>
      <c r="M326" s="195" t="s">
        <v>69</v>
      </c>
      <c r="N326" s="196"/>
      <c r="O326" s="227" t="s">
        <v>70</v>
      </c>
      <c r="P326" s="194"/>
      <c r="Q326" s="195" t="s">
        <v>71</v>
      </c>
      <c r="R326" s="228"/>
    </row>
    <row r="327" spans="1:18" s="91" customFormat="1" ht="15" customHeight="1" x14ac:dyDescent="0.25">
      <c r="A327" s="10" t="s">
        <v>72</v>
      </c>
      <c r="B327" s="44">
        <v>6.7510000000000003</v>
      </c>
      <c r="C327" s="51" t="s">
        <v>73</v>
      </c>
      <c r="D327" s="52">
        <v>23.36</v>
      </c>
      <c r="E327" s="248"/>
      <c r="F327" s="249"/>
      <c r="G327" s="53" t="s">
        <v>74</v>
      </c>
      <c r="H327" s="54">
        <f>3600/(0.5*( D336+F336))</f>
        <v>635.92706531750434</v>
      </c>
      <c r="I327" s="55" t="s">
        <v>75</v>
      </c>
      <c r="J327" s="56">
        <f>I334</f>
        <v>5.941667065441858</v>
      </c>
      <c r="K327" s="10" t="s">
        <v>76</v>
      </c>
      <c r="L327" s="57"/>
      <c r="M327" s="18" t="s">
        <v>77</v>
      </c>
      <c r="N327" s="57"/>
      <c r="O327" s="18" t="s">
        <v>78</v>
      </c>
      <c r="P327" s="58"/>
      <c r="Q327" s="18" t="s">
        <v>79</v>
      </c>
      <c r="R327" s="59"/>
    </row>
    <row r="328" spans="1:18" s="91" customFormat="1" ht="15" customHeight="1" x14ac:dyDescent="0.25">
      <c r="A328" s="10" t="s">
        <v>80</v>
      </c>
      <c r="B328" s="44"/>
      <c r="C328" s="18" t="s">
        <v>81</v>
      </c>
      <c r="D328" s="52">
        <v>14.6</v>
      </c>
      <c r="E328" s="60" t="s">
        <v>82</v>
      </c>
      <c r="F328" s="61">
        <v>13.24</v>
      </c>
      <c r="G328" s="62" t="s">
        <v>83</v>
      </c>
      <c r="H328" s="63">
        <f>3600/H327</f>
        <v>5.6610265490156477</v>
      </c>
      <c r="I328" s="64" t="s">
        <v>84</v>
      </c>
      <c r="J328" s="56">
        <f>I335</f>
        <v>12.479562635391137</v>
      </c>
      <c r="K328" s="65" t="s">
        <v>85</v>
      </c>
      <c r="L328" s="57"/>
      <c r="M328" s="18" t="s">
        <v>86</v>
      </c>
      <c r="N328" s="57"/>
      <c r="O328" s="18" t="s">
        <v>87</v>
      </c>
      <c r="P328" s="58"/>
      <c r="Q328" s="18" t="s">
        <v>88</v>
      </c>
      <c r="R328" s="59"/>
    </row>
    <row r="329" spans="1:18" s="91" customFormat="1" ht="15" customHeight="1" x14ac:dyDescent="0.25">
      <c r="A329" s="66" t="s">
        <v>89</v>
      </c>
      <c r="B329" s="67">
        <f>IF(H316&gt;2012,1,IF(H316&gt;2008,0.995,0.99))</f>
        <v>0.995</v>
      </c>
      <c r="C329" s="18" t="s">
        <v>90</v>
      </c>
      <c r="D329" s="52">
        <f>0.5*P329*P327+2*(P328-0.5*P329)*P327/3</f>
        <v>0</v>
      </c>
      <c r="E329" s="68"/>
      <c r="F329" s="69"/>
      <c r="G329" s="69"/>
      <c r="H329" s="69"/>
      <c r="I329" s="70"/>
      <c r="J329" s="71"/>
      <c r="K329" s="10" t="s">
        <v>91</v>
      </c>
      <c r="L329" s="72"/>
      <c r="M329" s="227"/>
      <c r="N329" s="194"/>
      <c r="O329" s="18" t="s">
        <v>92</v>
      </c>
      <c r="P329" s="73">
        <f>0.8*P328</f>
        <v>0</v>
      </c>
      <c r="Q329" s="18" t="s">
        <v>93</v>
      </c>
      <c r="R329" s="59"/>
    </row>
    <row r="330" spans="1:18" s="91" customFormat="1" ht="15" customHeight="1" x14ac:dyDescent="0.25">
      <c r="A330" s="10" t="s">
        <v>94</v>
      </c>
      <c r="B330" s="35">
        <f>J319-J318</f>
        <v>0.995</v>
      </c>
      <c r="C330" s="18" t="s">
        <v>95</v>
      </c>
      <c r="D330" s="52">
        <v>67.010000000000005</v>
      </c>
      <c r="E330" s="74"/>
      <c r="F330" s="74"/>
      <c r="G330" s="74"/>
      <c r="H330" s="74"/>
      <c r="I330" s="74"/>
      <c r="J330" s="74"/>
      <c r="K330" s="10" t="s">
        <v>96</v>
      </c>
      <c r="L330" s="75"/>
      <c r="M330" s="187"/>
      <c r="N330" s="229"/>
      <c r="O330" s="229"/>
      <c r="P330" s="230"/>
      <c r="Q330" s="18" t="s">
        <v>97</v>
      </c>
      <c r="R330" s="59"/>
    </row>
    <row r="331" spans="1:18" s="91" customFormat="1" ht="15" customHeight="1" x14ac:dyDescent="0.25">
      <c r="A331" s="10" t="s">
        <v>98</v>
      </c>
      <c r="B331" s="67">
        <f>IF(H317="шверт",1.005,1)</f>
        <v>1</v>
      </c>
      <c r="C331" s="16" t="s">
        <v>99</v>
      </c>
      <c r="D331" s="76">
        <f>D327+MAX(D329,D328,D330)</f>
        <v>90.37</v>
      </c>
      <c r="E331" s="77"/>
      <c r="F331" s="78"/>
      <c r="G331" s="78"/>
      <c r="H331" s="78"/>
      <c r="I331" s="78"/>
      <c r="J331" s="78"/>
      <c r="K331" s="10" t="s">
        <v>100</v>
      </c>
      <c r="L331" s="75"/>
      <c r="M331" s="191"/>
      <c r="N331" s="231"/>
      <c r="O331" s="231"/>
      <c r="P331" s="232"/>
      <c r="Q331" s="227"/>
      <c r="R331" s="233"/>
    </row>
    <row r="332" spans="1:18" s="91" customFormat="1" ht="15" customHeight="1" x14ac:dyDescent="0.25">
      <c r="A332" s="234"/>
      <c r="B332" s="235"/>
      <c r="C332" s="16" t="s">
        <v>101</v>
      </c>
      <c r="D332" s="79">
        <f>D327+D328</f>
        <v>37.96</v>
      </c>
      <c r="E332" s="236" t="s">
        <v>102</v>
      </c>
      <c r="F332" s="237"/>
      <c r="G332" s="237"/>
      <c r="H332" s="237"/>
      <c r="I332" s="238"/>
      <c r="J332" s="80" t="s">
        <v>103</v>
      </c>
      <c r="K332" s="239"/>
      <c r="L332" s="240"/>
      <c r="M332" s="240"/>
      <c r="N332" s="240"/>
      <c r="O332" s="240"/>
      <c r="P332" s="240"/>
      <c r="Q332" s="240"/>
      <c r="R332" s="241"/>
    </row>
    <row r="333" spans="1:18" s="91" customFormat="1" ht="15" customHeight="1" thickBot="1" x14ac:dyDescent="0.3">
      <c r="A333" s="212" t="s">
        <v>104</v>
      </c>
      <c r="B333" s="213"/>
      <c r="C333" s="81">
        <v>6</v>
      </c>
      <c r="D333" s="81">
        <v>8</v>
      </c>
      <c r="E333" s="81">
        <v>10</v>
      </c>
      <c r="F333" s="81">
        <v>12</v>
      </c>
      <c r="G333" s="81">
        <v>14</v>
      </c>
      <c r="H333" s="81">
        <v>16</v>
      </c>
      <c r="I333" s="82">
        <v>20</v>
      </c>
      <c r="J333" s="83">
        <f>AVERAGE(J334:J340)</f>
        <v>6.4350060201533141</v>
      </c>
      <c r="K333" s="164" t="s">
        <v>105</v>
      </c>
      <c r="L333" s="165"/>
      <c r="M333" s="214" t="e">
        <f>IF(P323&gt;-0.25,"SV непригодно для категории гонок 0,1,2 и3"," ")</f>
        <v>#DIV/0!</v>
      </c>
      <c r="N333" s="215"/>
      <c r="O333" s="215"/>
      <c r="P333" s="215"/>
      <c r="Q333" s="215"/>
      <c r="R333" s="216"/>
    </row>
    <row r="334" spans="1:18" s="91" customFormat="1" ht="15" customHeight="1" x14ac:dyDescent="0.25">
      <c r="A334" s="217" t="s">
        <v>106</v>
      </c>
      <c r="B334" s="218"/>
      <c r="C334" s="63">
        <f>SQRT(C333/I333)*I334</f>
        <v>3.2543850809280293</v>
      </c>
      <c r="D334" s="63">
        <f>SQRT(D333/I333)*I334</f>
        <v>3.757840205041</v>
      </c>
      <c r="E334" s="63">
        <f>SQRT(E333/I333)*I334</f>
        <v>4.2013930735267122</v>
      </c>
      <c r="F334" s="63">
        <f>SQRT(F333/I333)*I334</f>
        <v>4.6023955186330818</v>
      </c>
      <c r="G334" s="63">
        <f>SQRT(G333/I333)*I334</f>
        <v>4.9711553246292279</v>
      </c>
      <c r="H334" s="63">
        <f>SQRT(H333/I333)*I334</f>
        <v>5.3143885831998743</v>
      </c>
      <c r="I334" s="63">
        <f>(D332^(0.25)/((0.001*L313)^(1/6)))*SQRT(B327)*B329*B330</f>
        <v>5.941667065441858</v>
      </c>
      <c r="J334" s="84">
        <f t="shared" ref="J334:J340" si="54">AVERAGE(C334:I334)</f>
        <v>4.577603550199969</v>
      </c>
      <c r="K334" s="219" t="s">
        <v>107</v>
      </c>
      <c r="L334" s="220"/>
      <c r="M334" s="221"/>
      <c r="N334" s="222"/>
      <c r="O334" s="222"/>
      <c r="P334" s="222"/>
      <c r="Q334" s="222"/>
      <c r="R334" s="223"/>
    </row>
    <row r="335" spans="1:18" s="91" customFormat="1" ht="15" customHeight="1" x14ac:dyDescent="0.25">
      <c r="A335" s="217" t="s">
        <v>108</v>
      </c>
      <c r="B335" s="218"/>
      <c r="C335" s="63">
        <f>SQRT(C333/I333)*SQRT(D331/(SQRT(0.69)*F328))*SQRT(B327)*B329*B330*B331</f>
        <v>4.038747653945121</v>
      </c>
      <c r="D335" s="63">
        <f>SQRT(D333/I333)*SQRT(D331/(0.52*F328))*SQRT(B327)*B329*B330*B331</f>
        <v>5.894224698510377</v>
      </c>
      <c r="E335" s="63">
        <f>SQRT(E333/I333)*SQRT(D331/(0.44*F328))*SQRT(B327)*B329*B330*B331</f>
        <v>7.1640239323975186</v>
      </c>
      <c r="F335" s="63">
        <f>SQRT(F333/I333)*SQRT(D331/(0.385*F328))*SQRT(B327)*B329*B330*B331</f>
        <v>8.3896457738781312</v>
      </c>
      <c r="G335" s="63">
        <f>SQRT(G333/I333)*SQRT(D331/(0.35*F328))*SQRT(B327)*B329*B330*B331</f>
        <v>9.5041517491555929</v>
      </c>
      <c r="H335" s="63">
        <f>SQRT(H333/I333)*SQRT(D331/(0.323*F328))*SQRT(B327)*B329*B330*B331</f>
        <v>10.57650298746872</v>
      </c>
      <c r="I335" s="63">
        <f>SQRT(D331/(0.29*F328))*SQRT(B327)*B329*B330*B331</f>
        <v>12.479562635391137</v>
      </c>
      <c r="J335" s="84">
        <f t="shared" si="54"/>
        <v>8.2924084901066575</v>
      </c>
      <c r="K335" s="85" t="s">
        <v>109</v>
      </c>
      <c r="L335" s="86"/>
      <c r="M335" s="87">
        <v>2013</v>
      </c>
      <c r="N335" s="268"/>
      <c r="O335" s="269"/>
      <c r="P335" s="269"/>
      <c r="Q335" s="269"/>
      <c r="R335" s="270"/>
    </row>
    <row r="336" spans="1:18" s="91" customFormat="1" ht="15" customHeight="1" x14ac:dyDescent="0.25">
      <c r="A336" s="251" t="s">
        <v>110</v>
      </c>
      <c r="B336" s="252"/>
      <c r="C336" s="63">
        <f>0.5*(C334+C335)</f>
        <v>3.6465663674365754</v>
      </c>
      <c r="D336" s="63">
        <f t="shared" ref="D336:I336" si="55">0.5*(D334+D335)</f>
        <v>4.8260324517756885</v>
      </c>
      <c r="E336" s="63">
        <f t="shared" si="55"/>
        <v>5.6827085029621154</v>
      </c>
      <c r="F336" s="63">
        <f t="shared" si="55"/>
        <v>6.4960206462556069</v>
      </c>
      <c r="G336" s="63">
        <f t="shared" si="55"/>
        <v>7.2376535368924104</v>
      </c>
      <c r="H336" s="63">
        <f t="shared" si="55"/>
        <v>7.9454457853342966</v>
      </c>
      <c r="I336" s="63">
        <f t="shared" si="55"/>
        <v>9.2106148504164977</v>
      </c>
      <c r="J336" s="84">
        <f t="shared" si="54"/>
        <v>6.4350060201533124</v>
      </c>
      <c r="K336" s="166" t="s">
        <v>111</v>
      </c>
      <c r="L336" s="167"/>
      <c r="M336" s="87">
        <v>42859</v>
      </c>
      <c r="N336" s="271"/>
      <c r="O336" s="272"/>
      <c r="P336" s="272"/>
      <c r="Q336" s="272"/>
      <c r="R336" s="273"/>
    </row>
    <row r="337" spans="1:18" s="91" customFormat="1" ht="15" customHeight="1" x14ac:dyDescent="0.25">
      <c r="A337" s="251" t="s">
        <v>112</v>
      </c>
      <c r="B337" s="252"/>
      <c r="C337" s="63">
        <f>0.85*C334+0.15*C335</f>
        <v>3.3720394668805929</v>
      </c>
      <c r="D337" s="63">
        <f t="shared" ref="D337:I337" si="56">0.85*D334+0.15*D335</f>
        <v>4.078297879061406</v>
      </c>
      <c r="E337" s="63">
        <f t="shared" si="56"/>
        <v>4.6457877023573326</v>
      </c>
      <c r="F337" s="63">
        <f t="shared" si="56"/>
        <v>5.1704830569198394</v>
      </c>
      <c r="G337" s="63">
        <f t="shared" si="56"/>
        <v>5.6511047883081833</v>
      </c>
      <c r="H337" s="63">
        <f t="shared" si="56"/>
        <v>6.1037057438402007</v>
      </c>
      <c r="I337" s="63">
        <f t="shared" si="56"/>
        <v>6.9223514009342502</v>
      </c>
      <c r="J337" s="84">
        <f t="shared" si="54"/>
        <v>5.1348242911859723</v>
      </c>
      <c r="K337" s="224" t="s">
        <v>113</v>
      </c>
      <c r="L337" s="225"/>
      <c r="M337" s="184"/>
      <c r="N337" s="274"/>
      <c r="O337" s="274"/>
      <c r="P337" s="274"/>
      <c r="Q337" s="274"/>
      <c r="R337" s="185"/>
    </row>
    <row r="338" spans="1:18" s="91" customFormat="1" ht="15" customHeight="1" x14ac:dyDescent="0.25">
      <c r="A338" s="251" t="s">
        <v>114</v>
      </c>
      <c r="B338" s="252"/>
      <c r="C338" s="63">
        <f>0.75*C334+0.25*C335</f>
        <v>3.4504757241823021</v>
      </c>
      <c r="D338" s="63">
        <f t="shared" ref="D338:I338" si="57">0.75*D334+0.25*D335</f>
        <v>4.2919363284083447</v>
      </c>
      <c r="E338" s="63">
        <f t="shared" si="57"/>
        <v>4.9420507882444138</v>
      </c>
      <c r="F338" s="63">
        <f t="shared" si="57"/>
        <v>5.5492080824443448</v>
      </c>
      <c r="G338" s="63">
        <f t="shared" si="57"/>
        <v>6.1044044307608196</v>
      </c>
      <c r="H338" s="63">
        <f t="shared" si="57"/>
        <v>6.6299171842670859</v>
      </c>
      <c r="I338" s="63">
        <f t="shared" si="57"/>
        <v>7.5761409579291774</v>
      </c>
      <c r="J338" s="84">
        <f t="shared" si="54"/>
        <v>5.5063047851766411</v>
      </c>
      <c r="K338" s="253"/>
      <c r="L338" s="254"/>
      <c r="M338" s="254"/>
      <c r="N338" s="254"/>
      <c r="O338" s="254"/>
      <c r="P338" s="254"/>
      <c r="Q338" s="254"/>
      <c r="R338" s="255"/>
    </row>
    <row r="339" spans="1:18" s="91" customFormat="1" ht="15" customHeight="1" x14ac:dyDescent="0.25">
      <c r="A339" s="259" t="s">
        <v>115</v>
      </c>
      <c r="B339" s="260"/>
      <c r="C339" s="63">
        <f>0.25*C334+0.75*C335</f>
        <v>3.8426570106908482</v>
      </c>
      <c r="D339" s="63">
        <f t="shared" ref="D339:I339" si="58">0.25*D334+0.75*D335</f>
        <v>5.3601285751430323</v>
      </c>
      <c r="E339" s="63">
        <f t="shared" si="58"/>
        <v>6.423366217679817</v>
      </c>
      <c r="F339" s="63">
        <f t="shared" si="58"/>
        <v>7.442833210066869</v>
      </c>
      <c r="G339" s="63">
        <f t="shared" si="58"/>
        <v>8.3709026430240012</v>
      </c>
      <c r="H339" s="63">
        <f t="shared" si="58"/>
        <v>9.2609743864015073</v>
      </c>
      <c r="I339" s="63">
        <f t="shared" si="58"/>
        <v>10.845088742903817</v>
      </c>
      <c r="J339" s="84">
        <f t="shared" si="54"/>
        <v>7.3637072551299854</v>
      </c>
      <c r="K339" s="256"/>
      <c r="L339" s="257"/>
      <c r="M339" s="257"/>
      <c r="N339" s="257"/>
      <c r="O339" s="257"/>
      <c r="P339" s="257"/>
      <c r="Q339" s="257"/>
      <c r="R339" s="258"/>
    </row>
    <row r="340" spans="1:18" s="91" customFormat="1" ht="15" customHeight="1" thickBot="1" x14ac:dyDescent="0.3">
      <c r="A340" s="261" t="s">
        <v>116</v>
      </c>
      <c r="B340" s="262"/>
      <c r="C340" s="88">
        <f>0.15*C334+0.85*C335</f>
        <v>3.921093267992557</v>
      </c>
      <c r="D340" s="88">
        <f t="shared" ref="D340:I340" si="59">0.15*D334+0.85*D335</f>
        <v>5.5737670244899702</v>
      </c>
      <c r="E340" s="88">
        <f t="shared" si="59"/>
        <v>6.7196293035668981</v>
      </c>
      <c r="F340" s="88">
        <f t="shared" si="59"/>
        <v>7.8215582355913735</v>
      </c>
      <c r="G340" s="88">
        <f t="shared" si="59"/>
        <v>8.8242022854766393</v>
      </c>
      <c r="H340" s="88">
        <f t="shared" si="59"/>
        <v>9.7871858268283916</v>
      </c>
      <c r="I340" s="88">
        <f t="shared" si="59"/>
        <v>11.498878299898745</v>
      </c>
      <c r="J340" s="89">
        <f t="shared" si="54"/>
        <v>7.7351877491206533</v>
      </c>
      <c r="K340" s="263"/>
      <c r="L340" s="264"/>
      <c r="M340" s="264"/>
      <c r="N340" s="264"/>
      <c r="O340" s="264"/>
      <c r="P340" s="265"/>
      <c r="Q340" s="266" t="s">
        <v>0</v>
      </c>
      <c r="R340" s="267"/>
    </row>
    <row r="341" spans="1:18" ht="15.75" thickBot="1" x14ac:dyDescent="0.3">
      <c r="A341" s="118">
        <v>11</v>
      </c>
      <c r="B341" s="124" t="s">
        <v>117</v>
      </c>
      <c r="C341" s="124"/>
      <c r="D341" s="124"/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</row>
    <row r="342" spans="1:18" ht="15.75" thickBot="1" x14ac:dyDescent="0.3">
      <c r="A342" s="127" t="s">
        <v>0</v>
      </c>
      <c r="B342" s="128"/>
      <c r="C342" s="128"/>
      <c r="D342" s="128"/>
      <c r="E342" s="129"/>
      <c r="F342" s="130" t="s">
        <v>1</v>
      </c>
      <c r="G342" s="131"/>
      <c r="H342" s="132"/>
      <c r="I342" s="1" t="str">
        <f>CONCATENATE(B344,".01")</f>
        <v>2107.01</v>
      </c>
      <c r="J342" s="2" t="s">
        <v>2</v>
      </c>
      <c r="K342" s="133" t="s">
        <v>3</v>
      </c>
      <c r="L342" s="134"/>
      <c r="M342" s="135"/>
      <c r="N342" s="3" t="str">
        <f>I342</f>
        <v>2107.01</v>
      </c>
      <c r="O342" s="136" t="s">
        <v>4</v>
      </c>
      <c r="P342" s="137"/>
      <c r="Q342" s="138"/>
      <c r="R342" s="4" t="s">
        <v>5</v>
      </c>
    </row>
    <row r="343" spans="1:18" x14ac:dyDescent="0.25">
      <c r="A343" s="139" t="s">
        <v>195</v>
      </c>
      <c r="B343" s="140"/>
      <c r="C343" s="141"/>
      <c r="D343" s="142" t="s">
        <v>6</v>
      </c>
      <c r="E343" s="143"/>
      <c r="F343" s="144" t="s">
        <v>7</v>
      </c>
      <c r="G343" s="145"/>
      <c r="H343" s="145"/>
      <c r="I343" s="145"/>
      <c r="J343" s="146"/>
      <c r="K343" s="147" t="s">
        <v>8</v>
      </c>
      <c r="L343" s="148"/>
      <c r="M343" s="148"/>
      <c r="N343" s="149"/>
      <c r="O343" s="150" t="s">
        <v>9</v>
      </c>
      <c r="P343" s="151"/>
      <c r="Q343" s="151"/>
      <c r="R343" s="152"/>
    </row>
    <row r="344" spans="1:18" x14ac:dyDescent="0.25">
      <c r="A344" s="5" t="s">
        <v>10</v>
      </c>
      <c r="B344" s="6">
        <v>2107</v>
      </c>
      <c r="C344" s="7"/>
      <c r="D344" s="157">
        <f>INT(457468*H358^(-1.475))</f>
        <v>24</v>
      </c>
      <c r="E344" s="158"/>
      <c r="F344" s="8" t="s">
        <v>11</v>
      </c>
      <c r="G344" s="9"/>
      <c r="H344" s="159" t="s">
        <v>199</v>
      </c>
      <c r="I344" s="160"/>
      <c r="J344" s="161"/>
      <c r="K344" s="10" t="s">
        <v>12</v>
      </c>
      <c r="L344" s="11">
        <v>1469</v>
      </c>
      <c r="M344" s="162"/>
      <c r="N344" s="163"/>
      <c r="O344" s="12" t="s">
        <v>13</v>
      </c>
      <c r="P344" s="13"/>
      <c r="Q344" s="14" t="s">
        <v>14</v>
      </c>
      <c r="R344" s="15"/>
    </row>
    <row r="345" spans="1:18" x14ac:dyDescent="0.25">
      <c r="A345" s="164"/>
      <c r="B345" s="165"/>
      <c r="C345" s="16"/>
      <c r="D345" s="157" t="s">
        <v>217</v>
      </c>
      <c r="E345" s="158"/>
      <c r="F345" s="166" t="s">
        <v>15</v>
      </c>
      <c r="G345" s="167"/>
      <c r="H345" s="159" t="s">
        <v>200</v>
      </c>
      <c r="I345" s="160"/>
      <c r="J345" s="161"/>
      <c r="K345" s="10" t="s">
        <v>16</v>
      </c>
      <c r="L345" s="17">
        <v>7.11</v>
      </c>
      <c r="M345" s="18" t="s">
        <v>17</v>
      </c>
      <c r="N345" s="19">
        <v>2.5</v>
      </c>
      <c r="O345" s="20" t="s">
        <v>18</v>
      </c>
      <c r="P345" s="21"/>
      <c r="Q345" s="22" t="s">
        <v>19</v>
      </c>
      <c r="R345" s="23"/>
    </row>
    <row r="346" spans="1:18" x14ac:dyDescent="0.25">
      <c r="A346" s="174" t="s">
        <v>20</v>
      </c>
      <c r="B346" s="175"/>
      <c r="C346" s="176"/>
      <c r="D346" s="125" t="s">
        <v>21</v>
      </c>
      <c r="E346" s="126"/>
      <c r="F346" s="166" t="s">
        <v>22</v>
      </c>
      <c r="G346" s="167"/>
      <c r="H346" s="159" t="s">
        <v>201</v>
      </c>
      <c r="I346" s="160"/>
      <c r="J346" s="161"/>
      <c r="K346" s="10" t="s">
        <v>23</v>
      </c>
      <c r="L346" s="17">
        <v>0.5</v>
      </c>
      <c r="M346" s="18" t="s">
        <v>24</v>
      </c>
      <c r="N346" s="19">
        <v>0.36</v>
      </c>
      <c r="O346" s="20" t="s">
        <v>25</v>
      </c>
      <c r="P346" s="21"/>
      <c r="Q346" s="22" t="s">
        <v>26</v>
      </c>
      <c r="R346" s="23"/>
    </row>
    <row r="347" spans="1:18" ht="15.75" thickBot="1" x14ac:dyDescent="0.3">
      <c r="A347" s="174" t="s">
        <v>27</v>
      </c>
      <c r="B347" s="175"/>
      <c r="C347" s="176"/>
      <c r="D347" s="177" t="s">
        <v>28</v>
      </c>
      <c r="E347" s="149"/>
      <c r="F347" s="224" t="s">
        <v>29</v>
      </c>
      <c r="G347" s="225"/>
      <c r="H347" s="173">
        <v>2016</v>
      </c>
      <c r="I347" s="178"/>
      <c r="J347" s="226"/>
      <c r="K347" s="24" t="s">
        <v>30</v>
      </c>
      <c r="L347" s="17">
        <v>0.6</v>
      </c>
      <c r="M347" s="25" t="s">
        <v>31</v>
      </c>
      <c r="N347" s="19">
        <v>0.36</v>
      </c>
      <c r="O347" s="26" t="s">
        <v>32</v>
      </c>
      <c r="P347" s="27"/>
      <c r="Q347" s="28" t="s">
        <v>33</v>
      </c>
      <c r="R347" s="29"/>
    </row>
    <row r="348" spans="1:18" x14ac:dyDescent="0.25">
      <c r="A348" s="174" t="s">
        <v>34</v>
      </c>
      <c r="B348" s="175"/>
      <c r="C348" s="176"/>
      <c r="D348" s="177" t="s">
        <v>35</v>
      </c>
      <c r="E348" s="149"/>
      <c r="F348" s="166" t="s">
        <v>36</v>
      </c>
      <c r="G348" s="167"/>
      <c r="H348" s="173" t="s">
        <v>135</v>
      </c>
      <c r="I348" s="178"/>
      <c r="J348" s="179"/>
      <c r="K348" s="180" t="s">
        <v>37</v>
      </c>
      <c r="L348" s="181"/>
      <c r="M348" s="181"/>
      <c r="N348" s="181"/>
      <c r="O348" s="181"/>
      <c r="P348" s="181"/>
      <c r="Q348" s="181"/>
      <c r="R348" s="182"/>
    </row>
    <row r="349" spans="1:18" x14ac:dyDescent="0.25">
      <c r="A349" s="147" t="s">
        <v>35</v>
      </c>
      <c r="B349" s="148"/>
      <c r="C349" s="183"/>
      <c r="D349" s="184"/>
      <c r="E349" s="185"/>
      <c r="F349" s="166" t="s">
        <v>38</v>
      </c>
      <c r="G349" s="167"/>
      <c r="H349" s="186"/>
      <c r="I349" s="186"/>
      <c r="J349" s="30">
        <f>IF(H350="Подвесной мотор",0,IF(H349="Литой",0.005,0))</f>
        <v>0</v>
      </c>
      <c r="K349" s="31" t="s">
        <v>39</v>
      </c>
      <c r="L349" s="32"/>
      <c r="M349" s="33" t="s">
        <v>40</v>
      </c>
      <c r="N349" s="34"/>
      <c r="O349" s="18" t="s">
        <v>41</v>
      </c>
      <c r="P349" s="35" t="e">
        <f>L349*L353*N354*0.0175/N349</f>
        <v>#DIV/0!</v>
      </c>
      <c r="Q349" s="187"/>
      <c r="R349" s="188"/>
    </row>
    <row r="350" spans="1:18" ht="15.75" thickBot="1" x14ac:dyDescent="0.3">
      <c r="A350" s="168"/>
      <c r="B350" s="169"/>
      <c r="C350" s="170"/>
      <c r="D350" s="171"/>
      <c r="E350" s="172"/>
      <c r="F350" s="166" t="s">
        <v>42</v>
      </c>
      <c r="G350" s="167"/>
      <c r="H350" s="173" t="s">
        <v>123</v>
      </c>
      <c r="I350" s="173"/>
      <c r="J350" s="30">
        <f>IF(H350="Без двигателя",1,IF(H350="Подвесной мотор",0.995,IF(H350="Привод в кронштейне",0.99,IF(H350="Открытый вал",0.98,IF(H350="Закрытый вал",0.97,IF(H350="В вырезе",0.96,"Установка ? "))))))</f>
        <v>0.995</v>
      </c>
      <c r="K350" s="31" t="s">
        <v>43</v>
      </c>
      <c r="L350" s="32"/>
      <c r="M350" s="33" t="s">
        <v>44</v>
      </c>
      <c r="N350" s="34"/>
      <c r="O350" s="18" t="s">
        <v>45</v>
      </c>
      <c r="P350" s="35" t="e">
        <f>L350*L353*N354*0.0175/N350</f>
        <v>#DIV/0!</v>
      </c>
      <c r="Q350" s="189"/>
      <c r="R350" s="190"/>
    </row>
    <row r="351" spans="1:18" x14ac:dyDescent="0.25">
      <c r="A351" s="36"/>
      <c r="B351" s="37"/>
      <c r="C351" s="37"/>
      <c r="D351" s="37"/>
      <c r="E351" s="37"/>
      <c r="F351" s="144" t="s">
        <v>46</v>
      </c>
      <c r="G351" s="153"/>
      <c r="H351" s="154"/>
      <c r="I351" s="155"/>
      <c r="J351" s="156"/>
      <c r="K351" s="38" t="s">
        <v>47</v>
      </c>
      <c r="L351" s="32"/>
      <c r="M351" s="33" t="s">
        <v>48</v>
      </c>
      <c r="N351" s="34"/>
      <c r="O351" s="18" t="s">
        <v>49</v>
      </c>
      <c r="P351" s="35" t="e">
        <f>L351*L353*N354*0.0175/N351</f>
        <v>#DIV/0!</v>
      </c>
      <c r="Q351" s="189"/>
      <c r="R351" s="190"/>
    </row>
    <row r="352" spans="1:18" x14ac:dyDescent="0.25">
      <c r="A352" s="36"/>
      <c r="B352" s="37"/>
      <c r="C352" s="37"/>
      <c r="D352" s="37"/>
      <c r="E352" s="37"/>
      <c r="F352" s="39"/>
      <c r="G352" s="37"/>
      <c r="H352" s="37"/>
      <c r="I352" s="37"/>
      <c r="J352" s="37"/>
      <c r="K352" s="38" t="s">
        <v>50</v>
      </c>
      <c r="L352" s="40"/>
      <c r="M352" s="33" t="s">
        <v>51</v>
      </c>
      <c r="N352" s="34"/>
      <c r="O352" s="18" t="s">
        <v>52</v>
      </c>
      <c r="P352" s="35" t="e">
        <f>L352*L353*N354*0.0175/N352</f>
        <v>#DIV/0!</v>
      </c>
      <c r="Q352" s="189"/>
      <c r="R352" s="190"/>
    </row>
    <row r="353" spans="1:18" x14ac:dyDescent="0.25">
      <c r="A353" s="197" t="s">
        <v>53</v>
      </c>
      <c r="B353" s="198"/>
      <c r="C353" s="41"/>
      <c r="D353" s="41"/>
      <c r="E353" s="41"/>
      <c r="F353" s="42"/>
      <c r="G353" s="41"/>
      <c r="H353" s="41"/>
      <c r="I353" s="41"/>
      <c r="J353" s="41"/>
      <c r="K353" s="31" t="s">
        <v>54</v>
      </c>
      <c r="L353" s="43"/>
      <c r="M353" s="33" t="s">
        <v>55</v>
      </c>
      <c r="N353" s="34"/>
      <c r="O353" s="18" t="s">
        <v>56</v>
      </c>
      <c r="P353" s="44" t="e">
        <f>AVERAGE(P349:P352)</f>
        <v>#DIV/0!</v>
      </c>
      <c r="Q353" s="189"/>
      <c r="R353" s="190"/>
    </row>
    <row r="354" spans="1:18" x14ac:dyDescent="0.25">
      <c r="A354" s="199"/>
      <c r="B354" s="200"/>
      <c r="C354" s="200"/>
      <c r="D354" s="200"/>
      <c r="E354" s="200"/>
      <c r="F354" s="200"/>
      <c r="G354" s="200"/>
      <c r="H354" s="200"/>
      <c r="I354" s="200"/>
      <c r="J354" s="201"/>
      <c r="K354" s="45" t="s">
        <v>57</v>
      </c>
      <c r="L354" s="34"/>
      <c r="M354" s="33" t="s">
        <v>58</v>
      </c>
      <c r="N354" s="46" t="e">
        <f>N353/(1+L354/L355)</f>
        <v>#DIV/0!</v>
      </c>
      <c r="O354" s="47" t="s">
        <v>59</v>
      </c>
      <c r="P354" s="48" t="e">
        <f>3.281*((0.03*B358*B359^3*1025.8-54*P353)/L344-0.0625*B358)+0.25</f>
        <v>#DIV/0!</v>
      </c>
      <c r="Q354" s="191"/>
      <c r="R354" s="192"/>
    </row>
    <row r="355" spans="1:18" ht="15.75" thickBot="1" x14ac:dyDescent="0.3">
      <c r="A355" s="202"/>
      <c r="B355" s="203"/>
      <c r="C355" s="203"/>
      <c r="D355" s="203"/>
      <c r="E355" s="203"/>
      <c r="F355" s="203"/>
      <c r="G355" s="203"/>
      <c r="H355" s="203"/>
      <c r="I355" s="203"/>
      <c r="J355" s="204"/>
      <c r="K355" s="49" t="s">
        <v>60</v>
      </c>
      <c r="L355" s="50"/>
      <c r="M355" s="205" t="s">
        <v>61</v>
      </c>
      <c r="N355" s="206"/>
      <c r="O355" s="206"/>
      <c r="P355" s="207"/>
      <c r="Q355" s="208"/>
      <c r="R355" s="208"/>
    </row>
    <row r="356" spans="1:18" x14ac:dyDescent="0.25">
      <c r="A356" s="209" t="s">
        <v>62</v>
      </c>
      <c r="B356" s="210"/>
      <c r="C356" s="210"/>
      <c r="D356" s="210"/>
      <c r="E356" s="210"/>
      <c r="F356" s="210"/>
      <c r="G356" s="210"/>
      <c r="H356" s="210"/>
      <c r="I356" s="210"/>
      <c r="J356" s="211"/>
      <c r="K356" s="180" t="s">
        <v>63</v>
      </c>
      <c r="L356" s="181"/>
      <c r="M356" s="181"/>
      <c r="N356" s="181"/>
      <c r="O356" s="181"/>
      <c r="P356" s="181"/>
      <c r="Q356" s="181"/>
      <c r="R356" s="182"/>
    </row>
    <row r="357" spans="1:18" x14ac:dyDescent="0.25">
      <c r="A357" s="242" t="s">
        <v>64</v>
      </c>
      <c r="B357" s="243"/>
      <c r="C357" s="244" t="s">
        <v>65</v>
      </c>
      <c r="D357" s="245"/>
      <c r="E357" s="246" t="s">
        <v>66</v>
      </c>
      <c r="F357" s="247"/>
      <c r="G357" s="142" t="s">
        <v>67</v>
      </c>
      <c r="H357" s="250"/>
      <c r="I357" s="250"/>
      <c r="J357" s="143"/>
      <c r="K357" s="193" t="s">
        <v>68</v>
      </c>
      <c r="L357" s="194"/>
      <c r="M357" s="195" t="s">
        <v>69</v>
      </c>
      <c r="N357" s="196"/>
      <c r="O357" s="227" t="s">
        <v>70</v>
      </c>
      <c r="P357" s="194"/>
      <c r="Q357" s="195" t="s">
        <v>71</v>
      </c>
      <c r="R357" s="228"/>
    </row>
    <row r="358" spans="1:18" x14ac:dyDescent="0.25">
      <c r="A358" s="10" t="s">
        <v>72</v>
      </c>
      <c r="B358" s="44">
        <v>6</v>
      </c>
      <c r="C358" s="51" t="s">
        <v>73</v>
      </c>
      <c r="D358" s="52">
        <f>0.125*L358*(L360+2*L361+3*L362+2*L359)</f>
        <v>16.818999999999999</v>
      </c>
      <c r="E358" s="248"/>
      <c r="F358" s="249"/>
      <c r="G358" s="53" t="s">
        <v>74</v>
      </c>
      <c r="H358" s="54">
        <f>3600/(0.5*( D367+F367))</f>
        <v>787.18819023472906</v>
      </c>
      <c r="I358" s="55" t="s">
        <v>75</v>
      </c>
      <c r="J358" s="56">
        <f>I365</f>
        <v>5.2970538284974973</v>
      </c>
      <c r="K358" s="10" t="s">
        <v>76</v>
      </c>
      <c r="L358" s="57">
        <v>8.8000000000000007</v>
      </c>
      <c r="M358" s="18" t="s">
        <v>77</v>
      </c>
      <c r="N358" s="57">
        <v>7.13</v>
      </c>
      <c r="O358" s="18" t="s">
        <v>78</v>
      </c>
      <c r="P358" s="58">
        <v>7.19</v>
      </c>
      <c r="Q358" s="18" t="s">
        <v>79</v>
      </c>
      <c r="R358" s="59"/>
    </row>
    <row r="359" spans="1:18" x14ac:dyDescent="0.25">
      <c r="A359" s="10" t="s">
        <v>80</v>
      </c>
      <c r="B359" s="44">
        <v>1.85</v>
      </c>
      <c r="C359" s="18" t="s">
        <v>81</v>
      </c>
      <c r="D359" s="52">
        <f>N358*N359*0.5</f>
        <v>12.014050000000001</v>
      </c>
      <c r="E359" s="60" t="s">
        <v>82</v>
      </c>
      <c r="F359" s="61">
        <f>0.85*B358*B359</f>
        <v>9.4350000000000005</v>
      </c>
      <c r="G359" s="62" t="s">
        <v>83</v>
      </c>
      <c r="H359" s="63">
        <f>3600/H358</f>
        <v>4.5732393405527691</v>
      </c>
      <c r="I359" s="64" t="s">
        <v>84</v>
      </c>
      <c r="J359" s="56">
        <f>I366</f>
        <v>9.4704751932296549</v>
      </c>
      <c r="K359" s="65" t="s">
        <v>85</v>
      </c>
      <c r="L359" s="57">
        <v>3.3</v>
      </c>
      <c r="M359" s="18" t="s">
        <v>86</v>
      </c>
      <c r="N359" s="57">
        <v>3.37</v>
      </c>
      <c r="O359" s="18" t="s">
        <v>87</v>
      </c>
      <c r="P359" s="58">
        <v>4.1399999999999997</v>
      </c>
      <c r="Q359" s="18" t="s">
        <v>88</v>
      </c>
      <c r="R359" s="59"/>
    </row>
    <row r="360" spans="1:18" x14ac:dyDescent="0.25">
      <c r="A360" s="66" t="s">
        <v>89</v>
      </c>
      <c r="B360" s="67">
        <f>IF(H347&gt;2012,1,IF(H347&gt;2008,0.995,0.99))</f>
        <v>1</v>
      </c>
      <c r="C360" s="18" t="s">
        <v>90</v>
      </c>
      <c r="D360" s="52">
        <f>0.5*P360*P358+2*(P359-0.5*P360)*P358/3</f>
        <v>24.493933333333334</v>
      </c>
      <c r="E360" s="68"/>
      <c r="F360" s="69"/>
      <c r="G360" s="69"/>
      <c r="H360" s="69"/>
      <c r="I360" s="70"/>
      <c r="J360" s="71"/>
      <c r="K360" s="10" t="s">
        <v>91</v>
      </c>
      <c r="L360" s="72">
        <v>0.14000000000000001</v>
      </c>
      <c r="M360" s="227"/>
      <c r="N360" s="194"/>
      <c r="O360" s="18" t="s">
        <v>92</v>
      </c>
      <c r="P360" s="73">
        <v>3.88</v>
      </c>
      <c r="Q360" s="18" t="s">
        <v>93</v>
      </c>
      <c r="R360" s="59"/>
    </row>
    <row r="361" spans="1:18" x14ac:dyDescent="0.25">
      <c r="A361" s="10" t="s">
        <v>94</v>
      </c>
      <c r="B361" s="35">
        <f>J350-J349</f>
        <v>0.995</v>
      </c>
      <c r="C361" s="18" t="s">
        <v>95</v>
      </c>
      <c r="D361" s="52">
        <f>(0.5*(R358+R359)*(R360+4*R361))/6</f>
        <v>0</v>
      </c>
      <c r="E361" s="74"/>
      <c r="F361" s="74"/>
      <c r="G361" s="74"/>
      <c r="H361" s="74"/>
      <c r="I361" s="74"/>
      <c r="J361" s="74"/>
      <c r="K361" s="10" t="s">
        <v>96</v>
      </c>
      <c r="L361" s="75">
        <v>1.17</v>
      </c>
      <c r="M361" s="187"/>
      <c r="N361" s="229"/>
      <c r="O361" s="229"/>
      <c r="P361" s="230"/>
      <c r="Q361" s="18" t="s">
        <v>97</v>
      </c>
      <c r="R361" s="59"/>
    </row>
    <row r="362" spans="1:18" x14ac:dyDescent="0.25">
      <c r="A362" s="10" t="s">
        <v>98</v>
      </c>
      <c r="B362" s="67">
        <f>IF(H348="шверт",1.005,1)</f>
        <v>1</v>
      </c>
      <c r="C362" s="16" t="s">
        <v>99</v>
      </c>
      <c r="D362" s="76">
        <f>D358+MAX(D360,D359,D361)</f>
        <v>41.312933333333334</v>
      </c>
      <c r="E362" s="77"/>
      <c r="F362" s="78"/>
      <c r="G362" s="78"/>
      <c r="H362" s="78"/>
      <c r="I362" s="78"/>
      <c r="J362" s="78"/>
      <c r="K362" s="10" t="s">
        <v>100</v>
      </c>
      <c r="L362" s="75">
        <v>2.0699999999999998</v>
      </c>
      <c r="M362" s="191"/>
      <c r="N362" s="231"/>
      <c r="O362" s="231"/>
      <c r="P362" s="232"/>
      <c r="Q362" s="227"/>
      <c r="R362" s="233"/>
    </row>
    <row r="363" spans="1:18" x14ac:dyDescent="0.25">
      <c r="A363" s="234"/>
      <c r="B363" s="235"/>
      <c r="C363" s="16" t="s">
        <v>101</v>
      </c>
      <c r="D363" s="79">
        <f>D358+D359</f>
        <v>28.83305</v>
      </c>
      <c r="E363" s="236" t="s">
        <v>102</v>
      </c>
      <c r="F363" s="237"/>
      <c r="G363" s="237"/>
      <c r="H363" s="237"/>
      <c r="I363" s="238"/>
      <c r="J363" s="80" t="s">
        <v>103</v>
      </c>
      <c r="K363" s="239"/>
      <c r="L363" s="240"/>
      <c r="M363" s="240"/>
      <c r="N363" s="240"/>
      <c r="O363" s="240"/>
      <c r="P363" s="240"/>
      <c r="Q363" s="240"/>
      <c r="R363" s="241"/>
    </row>
    <row r="364" spans="1:18" ht="15.75" thickBot="1" x14ac:dyDescent="0.3">
      <c r="A364" s="212" t="s">
        <v>104</v>
      </c>
      <c r="B364" s="213"/>
      <c r="C364" s="81">
        <v>6</v>
      </c>
      <c r="D364" s="81">
        <v>8</v>
      </c>
      <c r="E364" s="81">
        <v>10</v>
      </c>
      <c r="F364" s="81">
        <v>12</v>
      </c>
      <c r="G364" s="81">
        <v>14</v>
      </c>
      <c r="H364" s="81">
        <v>16</v>
      </c>
      <c r="I364" s="82">
        <v>20</v>
      </c>
      <c r="J364" s="83">
        <f>AVERAGE(J365:J371)</f>
        <v>5.1869553803737558</v>
      </c>
      <c r="K364" s="164" t="s">
        <v>105</v>
      </c>
      <c r="L364" s="165"/>
      <c r="M364" s="214" t="e">
        <f>IF(P354&gt;-0.25,"SV непригодно для категории гонок 0,1,2 и3"," ")</f>
        <v>#DIV/0!</v>
      </c>
      <c r="N364" s="215"/>
      <c r="O364" s="215"/>
      <c r="P364" s="215"/>
      <c r="Q364" s="215"/>
      <c r="R364" s="216"/>
    </row>
    <row r="365" spans="1:18" x14ac:dyDescent="0.25">
      <c r="A365" s="217" t="s">
        <v>106</v>
      </c>
      <c r="B365" s="218"/>
      <c r="C365" s="63">
        <f>SQRT(C364/I364)*I365</f>
        <v>2.9013158701871804</v>
      </c>
      <c r="D365" s="63">
        <f>SQRT(D364/I364)*I365</f>
        <v>3.3501509973134045</v>
      </c>
      <c r="E365" s="63">
        <f>SQRT(E364/I364)*I365</f>
        <v>3.7455826824407441</v>
      </c>
      <c r="F365" s="63">
        <f>SQRT(F364/I364)*I365</f>
        <v>4.1030802523470093</v>
      </c>
      <c r="G365" s="63">
        <f>SQRT(G364/I364)*I365</f>
        <v>4.4318331967031428</v>
      </c>
      <c r="H365" s="63">
        <f>SQRT(H364/I364)*I365</f>
        <v>4.7378289763983661</v>
      </c>
      <c r="I365" s="63">
        <f>(D363^(0.25)/((0.001*L344)^(1/6)))*SQRT(B358)*B360*B361</f>
        <v>5.2970538284974973</v>
      </c>
      <c r="J365" s="84">
        <f t="shared" ref="J365:J371" si="60">AVERAGE(C365:I365)</f>
        <v>4.0809779719839065</v>
      </c>
      <c r="K365" s="219" t="s">
        <v>107</v>
      </c>
      <c r="L365" s="220"/>
      <c r="M365" s="221"/>
      <c r="N365" s="222"/>
      <c r="O365" s="222"/>
      <c r="P365" s="222"/>
      <c r="Q365" s="222"/>
      <c r="R365" s="223"/>
    </row>
    <row r="366" spans="1:18" x14ac:dyDescent="0.25">
      <c r="A366" s="217" t="s">
        <v>108</v>
      </c>
      <c r="B366" s="218"/>
      <c r="C366" s="63">
        <f>SQRT(C364/I364)*SQRT(D362/(SQRT(0.69)*F359))*SQRT(B358)*B360*B361*B362</f>
        <v>3.0649198682597043</v>
      </c>
      <c r="D366" s="63">
        <f>SQRT(D364/I364)*SQRT(D362/(0.52*F359))*SQRT(B358)*B360*B361*B362</f>
        <v>4.4730020130881378</v>
      </c>
      <c r="E366" s="63">
        <f>SQRT(E364/I364)*SQRT(D362/(0.44*F359))*SQRT(B358)*B360*B361*B362</f>
        <v>5.4366256989700821</v>
      </c>
      <c r="F366" s="63">
        <f>SQRT(F364/I364)*SQRT(D362/(0.385*F359))*SQRT(B358)*B360*B361*B362</f>
        <v>6.3667240994625267</v>
      </c>
      <c r="G366" s="63">
        <f>SQRT(G364/I364)*SQRT(D362/(0.35*F359))*SQRT(B358)*B360*B361*B362</f>
        <v>7.2124990276349701</v>
      </c>
      <c r="H366" s="63">
        <f>SQRT(H364/I364)*SQRT(D362/(0.323*F359))*SQRT(B358)*B360*B361*B362</f>
        <v>8.0262836207001786</v>
      </c>
      <c r="I366" s="63">
        <f>SQRT(D362/(0.29*F359))*SQRT(B358)*B360*B361*B362</f>
        <v>9.4704751932296549</v>
      </c>
      <c r="J366" s="84">
        <f t="shared" si="60"/>
        <v>6.2929327887636077</v>
      </c>
      <c r="K366" s="85" t="s">
        <v>109</v>
      </c>
      <c r="L366" s="86"/>
      <c r="M366" s="87"/>
      <c r="N366" s="268"/>
      <c r="O366" s="269"/>
      <c r="P366" s="269"/>
      <c r="Q366" s="269"/>
      <c r="R366" s="270"/>
    </row>
    <row r="367" spans="1:18" x14ac:dyDescent="0.25">
      <c r="A367" s="251" t="s">
        <v>110</v>
      </c>
      <c r="B367" s="252"/>
      <c r="C367" s="63">
        <f>0.5*(C365+C366)</f>
        <v>2.9831178692234426</v>
      </c>
      <c r="D367" s="63">
        <f t="shared" ref="D367:I367" si="61">0.5*(D365+D366)</f>
        <v>3.9115765052007712</v>
      </c>
      <c r="E367" s="63">
        <f t="shared" si="61"/>
        <v>4.5911041907054129</v>
      </c>
      <c r="F367" s="63">
        <f t="shared" si="61"/>
        <v>5.234902175904768</v>
      </c>
      <c r="G367" s="63">
        <f t="shared" si="61"/>
        <v>5.8221661121690564</v>
      </c>
      <c r="H367" s="63">
        <f t="shared" si="61"/>
        <v>6.3820562985492728</v>
      </c>
      <c r="I367" s="63">
        <f t="shared" si="61"/>
        <v>7.3837645108635765</v>
      </c>
      <c r="J367" s="84">
        <f t="shared" si="60"/>
        <v>5.1869553803737576</v>
      </c>
      <c r="K367" s="166" t="s">
        <v>111</v>
      </c>
      <c r="L367" s="167"/>
      <c r="M367" s="87"/>
      <c r="N367" s="271"/>
      <c r="O367" s="272"/>
      <c r="P367" s="272"/>
      <c r="Q367" s="272"/>
      <c r="R367" s="273"/>
    </row>
    <row r="368" spans="1:18" x14ac:dyDescent="0.25">
      <c r="A368" s="251" t="s">
        <v>112</v>
      </c>
      <c r="B368" s="252"/>
      <c r="C368" s="63">
        <f>0.85*C365+0.15*C366</f>
        <v>2.9258564698980587</v>
      </c>
      <c r="D368" s="63">
        <f t="shared" ref="D368:I368" si="62">0.85*D365+0.15*D366</f>
        <v>3.5185786496796143</v>
      </c>
      <c r="E368" s="63">
        <f t="shared" si="62"/>
        <v>3.9992391349201446</v>
      </c>
      <c r="F368" s="63">
        <f t="shared" si="62"/>
        <v>4.442626829414337</v>
      </c>
      <c r="G368" s="63">
        <f t="shared" si="62"/>
        <v>4.8489330713429171</v>
      </c>
      <c r="H368" s="63">
        <f t="shared" si="62"/>
        <v>5.2310971730436382</v>
      </c>
      <c r="I368" s="63">
        <f t="shared" si="62"/>
        <v>5.923067033207321</v>
      </c>
      <c r="J368" s="84">
        <f t="shared" si="60"/>
        <v>4.412771194500861</v>
      </c>
      <c r="K368" s="224" t="s">
        <v>113</v>
      </c>
      <c r="L368" s="225"/>
      <c r="M368" s="184"/>
      <c r="N368" s="274"/>
      <c r="O368" s="274"/>
      <c r="P368" s="274"/>
      <c r="Q368" s="274"/>
      <c r="R368" s="185"/>
    </row>
    <row r="369" spans="1:18" x14ac:dyDescent="0.25">
      <c r="A369" s="251" t="s">
        <v>114</v>
      </c>
      <c r="B369" s="252"/>
      <c r="C369" s="63">
        <f>0.75*C365+0.25*C366</f>
        <v>2.9422168697053115</v>
      </c>
      <c r="D369" s="63">
        <f t="shared" ref="D369:I369" si="63">0.75*D365+0.25*D366</f>
        <v>3.6308637512570878</v>
      </c>
      <c r="E369" s="63">
        <f t="shared" si="63"/>
        <v>4.1683434365730783</v>
      </c>
      <c r="F369" s="63">
        <f t="shared" si="63"/>
        <v>4.6689912141258887</v>
      </c>
      <c r="G369" s="63">
        <f t="shared" si="63"/>
        <v>5.1269996544360996</v>
      </c>
      <c r="H369" s="63">
        <f t="shared" si="63"/>
        <v>5.559942637473819</v>
      </c>
      <c r="I369" s="63">
        <f t="shared" si="63"/>
        <v>6.3404091696805374</v>
      </c>
      <c r="J369" s="84">
        <f t="shared" si="60"/>
        <v>4.6339666761788312</v>
      </c>
      <c r="K369" s="253"/>
      <c r="L369" s="254"/>
      <c r="M369" s="254"/>
      <c r="N369" s="254"/>
      <c r="O369" s="254"/>
      <c r="P369" s="254"/>
      <c r="Q369" s="254"/>
      <c r="R369" s="255"/>
    </row>
    <row r="370" spans="1:18" x14ac:dyDescent="0.25">
      <c r="A370" s="259" t="s">
        <v>115</v>
      </c>
      <c r="B370" s="260"/>
      <c r="C370" s="63">
        <f>0.25*C365+0.75*C366</f>
        <v>3.0240188687415737</v>
      </c>
      <c r="D370" s="63">
        <f t="shared" ref="D370:I370" si="64">0.25*D365+0.75*D366</f>
        <v>4.192289259144454</v>
      </c>
      <c r="E370" s="63">
        <f t="shared" si="64"/>
        <v>5.0138649448377475</v>
      </c>
      <c r="F370" s="63">
        <f t="shared" si="64"/>
        <v>5.8008131376836474</v>
      </c>
      <c r="G370" s="63">
        <f t="shared" si="64"/>
        <v>6.5173325699020133</v>
      </c>
      <c r="H370" s="63">
        <f t="shared" si="64"/>
        <v>7.2041699596247257</v>
      </c>
      <c r="I370" s="63">
        <f t="shared" si="64"/>
        <v>8.4271198520466157</v>
      </c>
      <c r="J370" s="84">
        <f t="shared" si="60"/>
        <v>5.7399440845686831</v>
      </c>
      <c r="K370" s="256"/>
      <c r="L370" s="257"/>
      <c r="M370" s="257"/>
      <c r="N370" s="257"/>
      <c r="O370" s="257"/>
      <c r="P370" s="257"/>
      <c r="Q370" s="257"/>
      <c r="R370" s="258"/>
    </row>
    <row r="371" spans="1:18" ht="15.75" thickBot="1" x14ac:dyDescent="0.3">
      <c r="A371" s="261" t="s">
        <v>116</v>
      </c>
      <c r="B371" s="262"/>
      <c r="C371" s="88">
        <f>0.15*C365+0.85*C366</f>
        <v>3.0403792685488256</v>
      </c>
      <c r="D371" s="88">
        <f t="shared" ref="D371:I371" si="65">0.15*D365+0.85*D366</f>
        <v>4.3045743607219276</v>
      </c>
      <c r="E371" s="88">
        <f t="shared" si="65"/>
        <v>5.1829692464906811</v>
      </c>
      <c r="F371" s="88">
        <f t="shared" si="65"/>
        <v>6.0271775223951991</v>
      </c>
      <c r="G371" s="88">
        <f t="shared" si="65"/>
        <v>6.7953991529951949</v>
      </c>
      <c r="H371" s="88">
        <f t="shared" si="65"/>
        <v>7.5330154240549065</v>
      </c>
      <c r="I371" s="88">
        <f t="shared" si="65"/>
        <v>8.8444619885198303</v>
      </c>
      <c r="J371" s="89">
        <f t="shared" si="60"/>
        <v>5.9611395662466524</v>
      </c>
      <c r="K371" s="263"/>
      <c r="L371" s="264"/>
      <c r="M371" s="264"/>
      <c r="N371" s="264"/>
      <c r="O371" s="264"/>
      <c r="P371" s="265"/>
      <c r="Q371" s="266" t="s">
        <v>0</v>
      </c>
      <c r="R371" s="267"/>
    </row>
  </sheetData>
  <mergeCells count="971">
    <mergeCell ref="A364:B364"/>
    <mergeCell ref="K364:L364"/>
    <mergeCell ref="M364:R364"/>
    <mergeCell ref="A365:B365"/>
    <mergeCell ref="K365:L365"/>
    <mergeCell ref="M365:R365"/>
    <mergeCell ref="A366:B366"/>
    <mergeCell ref="N366:R367"/>
    <mergeCell ref="A367:B367"/>
    <mergeCell ref="K367:L367"/>
    <mergeCell ref="A368:B368"/>
    <mergeCell ref="K368:L368"/>
    <mergeCell ref="M368:R368"/>
    <mergeCell ref="A369:B369"/>
    <mergeCell ref="K369:R370"/>
    <mergeCell ref="A370:B370"/>
    <mergeCell ref="A371:B371"/>
    <mergeCell ref="K371:P371"/>
    <mergeCell ref="Q371:R371"/>
    <mergeCell ref="A355:J355"/>
    <mergeCell ref="M355:P355"/>
    <mergeCell ref="Q355:R355"/>
    <mergeCell ref="A356:J356"/>
    <mergeCell ref="K356:R356"/>
    <mergeCell ref="A357:B357"/>
    <mergeCell ref="C357:D357"/>
    <mergeCell ref="E357:F358"/>
    <mergeCell ref="G357:J357"/>
    <mergeCell ref="K357:L357"/>
    <mergeCell ref="M357:N357"/>
    <mergeCell ref="O357:P357"/>
    <mergeCell ref="Q357:R357"/>
    <mergeCell ref="M360:N360"/>
    <mergeCell ref="M361:P362"/>
    <mergeCell ref="Q362:R362"/>
    <mergeCell ref="A363:B363"/>
    <mergeCell ref="E363:I363"/>
    <mergeCell ref="K363:R363"/>
    <mergeCell ref="A347:C347"/>
    <mergeCell ref="D347:E347"/>
    <mergeCell ref="F347:G347"/>
    <mergeCell ref="H347:J347"/>
    <mergeCell ref="A348:C348"/>
    <mergeCell ref="D348:E348"/>
    <mergeCell ref="F348:G348"/>
    <mergeCell ref="H348:J348"/>
    <mergeCell ref="K348:R348"/>
    <mergeCell ref="A349:C349"/>
    <mergeCell ref="D349:E349"/>
    <mergeCell ref="F349:G349"/>
    <mergeCell ref="H349:I349"/>
    <mergeCell ref="Q349:R354"/>
    <mergeCell ref="A350:C350"/>
    <mergeCell ref="D350:E350"/>
    <mergeCell ref="F350:G350"/>
    <mergeCell ref="H350:I350"/>
    <mergeCell ref="F351:G351"/>
    <mergeCell ref="H351:J351"/>
    <mergeCell ref="A353:B353"/>
    <mergeCell ref="A354:J354"/>
    <mergeCell ref="A342:E342"/>
    <mergeCell ref="F342:H342"/>
    <mergeCell ref="K342:M342"/>
    <mergeCell ref="O342:Q342"/>
    <mergeCell ref="A343:C343"/>
    <mergeCell ref="D343:E343"/>
    <mergeCell ref="F343:J343"/>
    <mergeCell ref="K343:N343"/>
    <mergeCell ref="O343:R343"/>
    <mergeCell ref="D344:E344"/>
    <mergeCell ref="H344:J344"/>
    <mergeCell ref="M344:N344"/>
    <mergeCell ref="A345:B345"/>
    <mergeCell ref="D345:E345"/>
    <mergeCell ref="F345:G345"/>
    <mergeCell ref="H345:J345"/>
    <mergeCell ref="A346:C346"/>
    <mergeCell ref="D346:E346"/>
    <mergeCell ref="F346:G346"/>
    <mergeCell ref="H346:J346"/>
    <mergeCell ref="A333:B333"/>
    <mergeCell ref="K333:L333"/>
    <mergeCell ref="M333:R333"/>
    <mergeCell ref="A334:B334"/>
    <mergeCell ref="K334:L334"/>
    <mergeCell ref="M334:R334"/>
    <mergeCell ref="A335:B335"/>
    <mergeCell ref="N335:R336"/>
    <mergeCell ref="A336:B336"/>
    <mergeCell ref="K336:L336"/>
    <mergeCell ref="A337:B337"/>
    <mergeCell ref="K337:L337"/>
    <mergeCell ref="M337:R337"/>
    <mergeCell ref="A338:B338"/>
    <mergeCell ref="K338:R339"/>
    <mergeCell ref="A339:B339"/>
    <mergeCell ref="A340:B340"/>
    <mergeCell ref="K340:P340"/>
    <mergeCell ref="Q340:R340"/>
    <mergeCell ref="A324:J324"/>
    <mergeCell ref="M324:P324"/>
    <mergeCell ref="Q324:R324"/>
    <mergeCell ref="A325:J325"/>
    <mergeCell ref="K325:R325"/>
    <mergeCell ref="A326:B326"/>
    <mergeCell ref="C326:D326"/>
    <mergeCell ref="E326:F327"/>
    <mergeCell ref="G326:J326"/>
    <mergeCell ref="K326:L326"/>
    <mergeCell ref="M326:N326"/>
    <mergeCell ref="O326:P326"/>
    <mergeCell ref="Q326:R326"/>
    <mergeCell ref="M329:N329"/>
    <mergeCell ref="M330:P331"/>
    <mergeCell ref="Q331:R331"/>
    <mergeCell ref="A332:B332"/>
    <mergeCell ref="E332:I332"/>
    <mergeCell ref="K332:R332"/>
    <mergeCell ref="A315:C315"/>
    <mergeCell ref="D315:E315"/>
    <mergeCell ref="F315:G315"/>
    <mergeCell ref="H315:J315"/>
    <mergeCell ref="A316:C316"/>
    <mergeCell ref="D316:E316"/>
    <mergeCell ref="F316:G316"/>
    <mergeCell ref="H316:J316"/>
    <mergeCell ref="A317:C317"/>
    <mergeCell ref="D317:E317"/>
    <mergeCell ref="F317:G317"/>
    <mergeCell ref="H317:J317"/>
    <mergeCell ref="K317:R317"/>
    <mergeCell ref="A318:C318"/>
    <mergeCell ref="D318:E318"/>
    <mergeCell ref="F318:G318"/>
    <mergeCell ref="H318:I318"/>
    <mergeCell ref="Q318:R323"/>
    <mergeCell ref="A319:C319"/>
    <mergeCell ref="D319:E319"/>
    <mergeCell ref="F319:G319"/>
    <mergeCell ref="H319:I319"/>
    <mergeCell ref="F320:G320"/>
    <mergeCell ref="H320:J320"/>
    <mergeCell ref="A322:B322"/>
    <mergeCell ref="A323:J323"/>
    <mergeCell ref="B310:R310"/>
    <mergeCell ref="A311:E311"/>
    <mergeCell ref="F311:H311"/>
    <mergeCell ref="K311:M311"/>
    <mergeCell ref="O311:Q311"/>
    <mergeCell ref="A312:C312"/>
    <mergeCell ref="D312:E312"/>
    <mergeCell ref="F312:J312"/>
    <mergeCell ref="K312:N312"/>
    <mergeCell ref="O312:R312"/>
    <mergeCell ref="D313:E313"/>
    <mergeCell ref="H313:J313"/>
    <mergeCell ref="M313:N313"/>
    <mergeCell ref="A314:B314"/>
    <mergeCell ref="D314:E314"/>
    <mergeCell ref="F314:G314"/>
    <mergeCell ref="H314:J314"/>
    <mergeCell ref="A302:B302"/>
    <mergeCell ref="K302:L302"/>
    <mergeCell ref="M302:R302"/>
    <mergeCell ref="A303:B303"/>
    <mergeCell ref="K303:L303"/>
    <mergeCell ref="M303:R303"/>
    <mergeCell ref="A304:B304"/>
    <mergeCell ref="N304:R305"/>
    <mergeCell ref="A305:B305"/>
    <mergeCell ref="K305:L305"/>
    <mergeCell ref="A306:B306"/>
    <mergeCell ref="K306:L306"/>
    <mergeCell ref="M306:R306"/>
    <mergeCell ref="A307:B307"/>
    <mergeCell ref="K307:R308"/>
    <mergeCell ref="A308:B308"/>
    <mergeCell ref="A309:B309"/>
    <mergeCell ref="K309:P309"/>
    <mergeCell ref="Q309:R309"/>
    <mergeCell ref="A293:J293"/>
    <mergeCell ref="M293:P293"/>
    <mergeCell ref="Q293:R293"/>
    <mergeCell ref="A294:J294"/>
    <mergeCell ref="K294:R294"/>
    <mergeCell ref="A295:B295"/>
    <mergeCell ref="C295:D295"/>
    <mergeCell ref="E295:F296"/>
    <mergeCell ref="G295:J295"/>
    <mergeCell ref="K295:L295"/>
    <mergeCell ref="M295:N295"/>
    <mergeCell ref="O295:P295"/>
    <mergeCell ref="Q295:R295"/>
    <mergeCell ref="M298:N298"/>
    <mergeCell ref="M299:P300"/>
    <mergeCell ref="Q300:R300"/>
    <mergeCell ref="A301:B301"/>
    <mergeCell ref="E301:I301"/>
    <mergeCell ref="K301:R301"/>
    <mergeCell ref="A284:C284"/>
    <mergeCell ref="D284:E284"/>
    <mergeCell ref="F284:G284"/>
    <mergeCell ref="H284:J284"/>
    <mergeCell ref="A285:C285"/>
    <mergeCell ref="D285:E285"/>
    <mergeCell ref="F285:G285"/>
    <mergeCell ref="H285:J285"/>
    <mergeCell ref="A286:C286"/>
    <mergeCell ref="D286:E286"/>
    <mergeCell ref="F286:G286"/>
    <mergeCell ref="H286:J286"/>
    <mergeCell ref="K286:R286"/>
    <mergeCell ref="A287:C287"/>
    <mergeCell ref="D287:E287"/>
    <mergeCell ref="F287:G287"/>
    <mergeCell ref="H287:I287"/>
    <mergeCell ref="Q287:R292"/>
    <mergeCell ref="A288:C288"/>
    <mergeCell ref="D288:E288"/>
    <mergeCell ref="F288:G288"/>
    <mergeCell ref="H288:I288"/>
    <mergeCell ref="F289:G289"/>
    <mergeCell ref="H289:J289"/>
    <mergeCell ref="A291:B291"/>
    <mergeCell ref="A292:J292"/>
    <mergeCell ref="B279:R279"/>
    <mergeCell ref="A280:E280"/>
    <mergeCell ref="F280:H280"/>
    <mergeCell ref="K280:M280"/>
    <mergeCell ref="O280:Q280"/>
    <mergeCell ref="A281:C281"/>
    <mergeCell ref="D281:E281"/>
    <mergeCell ref="F281:J281"/>
    <mergeCell ref="K281:N281"/>
    <mergeCell ref="O281:R281"/>
    <mergeCell ref="D282:E282"/>
    <mergeCell ref="H282:J282"/>
    <mergeCell ref="M282:N282"/>
    <mergeCell ref="A283:B283"/>
    <mergeCell ref="D283:E283"/>
    <mergeCell ref="F283:G283"/>
    <mergeCell ref="H283:J283"/>
    <mergeCell ref="A271:B271"/>
    <mergeCell ref="K271:L271"/>
    <mergeCell ref="M271:R271"/>
    <mergeCell ref="A272:B272"/>
    <mergeCell ref="K272:L272"/>
    <mergeCell ref="M272:R272"/>
    <mergeCell ref="A273:B273"/>
    <mergeCell ref="N273:R274"/>
    <mergeCell ref="A274:B274"/>
    <mergeCell ref="K274:L274"/>
    <mergeCell ref="A275:B275"/>
    <mergeCell ref="K275:L275"/>
    <mergeCell ref="M275:R275"/>
    <mergeCell ref="A276:B276"/>
    <mergeCell ref="K276:R277"/>
    <mergeCell ref="A277:B277"/>
    <mergeCell ref="A278:B278"/>
    <mergeCell ref="K278:P278"/>
    <mergeCell ref="Q278:R278"/>
    <mergeCell ref="A262:J262"/>
    <mergeCell ref="M262:P262"/>
    <mergeCell ref="Q262:R262"/>
    <mergeCell ref="A263:J263"/>
    <mergeCell ref="K263:R263"/>
    <mergeCell ref="A264:B264"/>
    <mergeCell ref="C264:D264"/>
    <mergeCell ref="E264:F265"/>
    <mergeCell ref="G264:J264"/>
    <mergeCell ref="K264:L264"/>
    <mergeCell ref="M264:N264"/>
    <mergeCell ref="O264:P264"/>
    <mergeCell ref="Q264:R264"/>
    <mergeCell ref="M267:N267"/>
    <mergeCell ref="M268:P269"/>
    <mergeCell ref="Q269:R269"/>
    <mergeCell ref="A270:B270"/>
    <mergeCell ref="E270:I270"/>
    <mergeCell ref="K270:R270"/>
    <mergeCell ref="A253:C253"/>
    <mergeCell ref="D253:E253"/>
    <mergeCell ref="F253:G253"/>
    <mergeCell ref="H253:J253"/>
    <mergeCell ref="A254:C254"/>
    <mergeCell ref="D254:E254"/>
    <mergeCell ref="F254:G254"/>
    <mergeCell ref="H254:J254"/>
    <mergeCell ref="A255:C255"/>
    <mergeCell ref="D255:E255"/>
    <mergeCell ref="F255:G255"/>
    <mergeCell ref="H255:J255"/>
    <mergeCell ref="K255:R255"/>
    <mergeCell ref="A256:C256"/>
    <mergeCell ref="D256:E256"/>
    <mergeCell ref="F256:G256"/>
    <mergeCell ref="H256:I256"/>
    <mergeCell ref="Q256:R261"/>
    <mergeCell ref="A257:C257"/>
    <mergeCell ref="D257:E257"/>
    <mergeCell ref="F257:G257"/>
    <mergeCell ref="H257:I257"/>
    <mergeCell ref="F258:G258"/>
    <mergeCell ref="H258:J258"/>
    <mergeCell ref="A260:B260"/>
    <mergeCell ref="A261:J261"/>
    <mergeCell ref="B248:R248"/>
    <mergeCell ref="A249:E249"/>
    <mergeCell ref="F249:H249"/>
    <mergeCell ref="K249:M249"/>
    <mergeCell ref="O249:Q249"/>
    <mergeCell ref="A250:C250"/>
    <mergeCell ref="D250:E250"/>
    <mergeCell ref="F250:J250"/>
    <mergeCell ref="K250:N250"/>
    <mergeCell ref="O250:R250"/>
    <mergeCell ref="D251:E251"/>
    <mergeCell ref="H251:J251"/>
    <mergeCell ref="M251:N251"/>
    <mergeCell ref="A252:B252"/>
    <mergeCell ref="D252:E252"/>
    <mergeCell ref="F252:G252"/>
    <mergeCell ref="H252:J252"/>
    <mergeCell ref="A240:B240"/>
    <mergeCell ref="K240:L240"/>
    <mergeCell ref="M240:R240"/>
    <mergeCell ref="A241:B241"/>
    <mergeCell ref="K241:L241"/>
    <mergeCell ref="M241:R241"/>
    <mergeCell ref="A242:B242"/>
    <mergeCell ref="N242:R243"/>
    <mergeCell ref="A243:B243"/>
    <mergeCell ref="K243:L243"/>
    <mergeCell ref="A244:B244"/>
    <mergeCell ref="K244:L244"/>
    <mergeCell ref="M244:R244"/>
    <mergeCell ref="A245:B245"/>
    <mergeCell ref="K245:R246"/>
    <mergeCell ref="A246:B246"/>
    <mergeCell ref="A247:B247"/>
    <mergeCell ref="K247:P247"/>
    <mergeCell ref="Q247:R247"/>
    <mergeCell ref="A231:J231"/>
    <mergeCell ref="M231:P231"/>
    <mergeCell ref="Q231:R231"/>
    <mergeCell ref="A232:J232"/>
    <mergeCell ref="K232:R232"/>
    <mergeCell ref="A233:B233"/>
    <mergeCell ref="C233:D233"/>
    <mergeCell ref="E233:F234"/>
    <mergeCell ref="G233:J233"/>
    <mergeCell ref="K233:L233"/>
    <mergeCell ref="M233:N233"/>
    <mergeCell ref="O233:P233"/>
    <mergeCell ref="Q233:R233"/>
    <mergeCell ref="M236:N236"/>
    <mergeCell ref="M237:P238"/>
    <mergeCell ref="Q238:R238"/>
    <mergeCell ref="A239:B239"/>
    <mergeCell ref="E239:I239"/>
    <mergeCell ref="K239:R239"/>
    <mergeCell ref="A222:C222"/>
    <mergeCell ref="D222:E222"/>
    <mergeCell ref="F222:G222"/>
    <mergeCell ref="H222:J222"/>
    <mergeCell ref="A223:C223"/>
    <mergeCell ref="D223:E223"/>
    <mergeCell ref="F223:G223"/>
    <mergeCell ref="H223:J223"/>
    <mergeCell ref="A224:C224"/>
    <mergeCell ref="D224:E224"/>
    <mergeCell ref="F224:G224"/>
    <mergeCell ref="H224:J224"/>
    <mergeCell ref="K224:R224"/>
    <mergeCell ref="A225:C225"/>
    <mergeCell ref="D225:E225"/>
    <mergeCell ref="F225:G225"/>
    <mergeCell ref="H225:I225"/>
    <mergeCell ref="Q225:R230"/>
    <mergeCell ref="A226:C226"/>
    <mergeCell ref="D226:E226"/>
    <mergeCell ref="F226:G226"/>
    <mergeCell ref="H226:I226"/>
    <mergeCell ref="F227:G227"/>
    <mergeCell ref="H227:J227"/>
    <mergeCell ref="A229:B229"/>
    <mergeCell ref="A230:J230"/>
    <mergeCell ref="B217:R217"/>
    <mergeCell ref="A218:E218"/>
    <mergeCell ref="F218:H218"/>
    <mergeCell ref="K218:M218"/>
    <mergeCell ref="O218:Q218"/>
    <mergeCell ref="A219:C219"/>
    <mergeCell ref="D219:E219"/>
    <mergeCell ref="F219:J219"/>
    <mergeCell ref="K219:N219"/>
    <mergeCell ref="O219:R219"/>
    <mergeCell ref="D220:E220"/>
    <mergeCell ref="H220:J220"/>
    <mergeCell ref="M220:N220"/>
    <mergeCell ref="A221:B221"/>
    <mergeCell ref="D221:E221"/>
    <mergeCell ref="F221:G221"/>
    <mergeCell ref="H221:J221"/>
    <mergeCell ref="A209:B209"/>
    <mergeCell ref="K209:L209"/>
    <mergeCell ref="M209:R209"/>
    <mergeCell ref="A210:B210"/>
    <mergeCell ref="K210:L210"/>
    <mergeCell ref="M210:R210"/>
    <mergeCell ref="A211:B211"/>
    <mergeCell ref="N211:R212"/>
    <mergeCell ref="A212:B212"/>
    <mergeCell ref="K212:L212"/>
    <mergeCell ref="A213:B213"/>
    <mergeCell ref="K213:L213"/>
    <mergeCell ref="M213:R213"/>
    <mergeCell ref="A214:B214"/>
    <mergeCell ref="K214:R215"/>
    <mergeCell ref="A215:B215"/>
    <mergeCell ref="A216:B216"/>
    <mergeCell ref="K216:P216"/>
    <mergeCell ref="Q216:R216"/>
    <mergeCell ref="A200:J200"/>
    <mergeCell ref="M200:P200"/>
    <mergeCell ref="Q200:R200"/>
    <mergeCell ref="A201:J201"/>
    <mergeCell ref="K201:R201"/>
    <mergeCell ref="A202:B202"/>
    <mergeCell ref="C202:D202"/>
    <mergeCell ref="E202:F203"/>
    <mergeCell ref="G202:J202"/>
    <mergeCell ref="K202:L202"/>
    <mergeCell ref="M202:N202"/>
    <mergeCell ref="O202:P202"/>
    <mergeCell ref="Q202:R202"/>
    <mergeCell ref="M205:N205"/>
    <mergeCell ref="M206:P207"/>
    <mergeCell ref="Q207:R207"/>
    <mergeCell ref="A208:B208"/>
    <mergeCell ref="E208:I208"/>
    <mergeCell ref="K208:R208"/>
    <mergeCell ref="A191:C191"/>
    <mergeCell ref="D191:E191"/>
    <mergeCell ref="F191:G191"/>
    <mergeCell ref="H191:J191"/>
    <mergeCell ref="A192:C192"/>
    <mergeCell ref="D192:E192"/>
    <mergeCell ref="F192:G192"/>
    <mergeCell ref="H192:J192"/>
    <mergeCell ref="A193:C193"/>
    <mergeCell ref="D193:E193"/>
    <mergeCell ref="F193:G193"/>
    <mergeCell ref="H193:J193"/>
    <mergeCell ref="K193:R193"/>
    <mergeCell ref="A194:C194"/>
    <mergeCell ref="D194:E194"/>
    <mergeCell ref="F194:G194"/>
    <mergeCell ref="H194:I194"/>
    <mergeCell ref="Q194:R199"/>
    <mergeCell ref="A195:C195"/>
    <mergeCell ref="D195:E195"/>
    <mergeCell ref="F195:G195"/>
    <mergeCell ref="H195:I195"/>
    <mergeCell ref="F196:G196"/>
    <mergeCell ref="H196:J196"/>
    <mergeCell ref="A198:B198"/>
    <mergeCell ref="A199:J199"/>
    <mergeCell ref="B186:R186"/>
    <mergeCell ref="A187:E187"/>
    <mergeCell ref="F187:H187"/>
    <mergeCell ref="K187:M187"/>
    <mergeCell ref="O187:Q187"/>
    <mergeCell ref="A188:C188"/>
    <mergeCell ref="D188:E188"/>
    <mergeCell ref="F188:J188"/>
    <mergeCell ref="K188:N188"/>
    <mergeCell ref="O188:R188"/>
    <mergeCell ref="D189:E189"/>
    <mergeCell ref="H189:J189"/>
    <mergeCell ref="M189:N189"/>
    <mergeCell ref="A190:B190"/>
    <mergeCell ref="D190:E190"/>
    <mergeCell ref="F190:G190"/>
    <mergeCell ref="H190:J190"/>
    <mergeCell ref="A178:B178"/>
    <mergeCell ref="K178:L178"/>
    <mergeCell ref="M178:R178"/>
    <mergeCell ref="A179:B179"/>
    <mergeCell ref="K179:L179"/>
    <mergeCell ref="M179:R179"/>
    <mergeCell ref="A180:B180"/>
    <mergeCell ref="N180:R181"/>
    <mergeCell ref="A181:B181"/>
    <mergeCell ref="K181:L181"/>
    <mergeCell ref="A182:B182"/>
    <mergeCell ref="K182:L182"/>
    <mergeCell ref="M182:R182"/>
    <mergeCell ref="A183:B183"/>
    <mergeCell ref="K183:R184"/>
    <mergeCell ref="A184:B184"/>
    <mergeCell ref="A185:B185"/>
    <mergeCell ref="K185:P185"/>
    <mergeCell ref="Q185:R185"/>
    <mergeCell ref="A169:J169"/>
    <mergeCell ref="M169:P169"/>
    <mergeCell ref="Q169:R169"/>
    <mergeCell ref="A170:J170"/>
    <mergeCell ref="K170:R170"/>
    <mergeCell ref="A171:B171"/>
    <mergeCell ref="C171:D171"/>
    <mergeCell ref="E171:F172"/>
    <mergeCell ref="G171:J171"/>
    <mergeCell ref="K171:L171"/>
    <mergeCell ref="M171:N171"/>
    <mergeCell ref="O171:P171"/>
    <mergeCell ref="Q171:R171"/>
    <mergeCell ref="M174:N174"/>
    <mergeCell ref="M175:P176"/>
    <mergeCell ref="Q176:R176"/>
    <mergeCell ref="A177:B177"/>
    <mergeCell ref="E177:I177"/>
    <mergeCell ref="K177:R177"/>
    <mergeCell ref="A160:C160"/>
    <mergeCell ref="D160:E160"/>
    <mergeCell ref="F160:G160"/>
    <mergeCell ref="H160:J160"/>
    <mergeCell ref="A161:C161"/>
    <mergeCell ref="D161:E161"/>
    <mergeCell ref="F161:G161"/>
    <mergeCell ref="H161:J161"/>
    <mergeCell ref="A162:C162"/>
    <mergeCell ref="D162:E162"/>
    <mergeCell ref="F162:G162"/>
    <mergeCell ref="H162:J162"/>
    <mergeCell ref="K162:R162"/>
    <mergeCell ref="A163:C163"/>
    <mergeCell ref="D163:E163"/>
    <mergeCell ref="F163:G163"/>
    <mergeCell ref="H163:I163"/>
    <mergeCell ref="Q163:R168"/>
    <mergeCell ref="A164:C164"/>
    <mergeCell ref="D164:E164"/>
    <mergeCell ref="F164:G164"/>
    <mergeCell ref="H164:I164"/>
    <mergeCell ref="F165:G165"/>
    <mergeCell ref="H165:J165"/>
    <mergeCell ref="A167:B167"/>
    <mergeCell ref="A168:J168"/>
    <mergeCell ref="B155:R155"/>
    <mergeCell ref="A156:E156"/>
    <mergeCell ref="F156:H156"/>
    <mergeCell ref="K156:M156"/>
    <mergeCell ref="O156:Q156"/>
    <mergeCell ref="A157:C157"/>
    <mergeCell ref="D157:E157"/>
    <mergeCell ref="F157:J157"/>
    <mergeCell ref="K157:N157"/>
    <mergeCell ref="O157:R157"/>
    <mergeCell ref="D158:E158"/>
    <mergeCell ref="H158:J158"/>
    <mergeCell ref="M158:N158"/>
    <mergeCell ref="A159:B159"/>
    <mergeCell ref="D159:E159"/>
    <mergeCell ref="F159:G159"/>
    <mergeCell ref="H159:J159"/>
    <mergeCell ref="A147:B147"/>
    <mergeCell ref="K147:L147"/>
    <mergeCell ref="M147:R147"/>
    <mergeCell ref="A148:B148"/>
    <mergeCell ref="K148:L148"/>
    <mergeCell ref="M148:R148"/>
    <mergeCell ref="A149:B149"/>
    <mergeCell ref="N149:R150"/>
    <mergeCell ref="A150:B150"/>
    <mergeCell ref="K150:L150"/>
    <mergeCell ref="A151:B151"/>
    <mergeCell ref="K151:L151"/>
    <mergeCell ref="M151:R151"/>
    <mergeCell ref="A152:B152"/>
    <mergeCell ref="K152:R153"/>
    <mergeCell ref="A153:B153"/>
    <mergeCell ref="A154:B154"/>
    <mergeCell ref="K154:P154"/>
    <mergeCell ref="Q154:R154"/>
    <mergeCell ref="A138:J138"/>
    <mergeCell ref="M138:P138"/>
    <mergeCell ref="Q138:R138"/>
    <mergeCell ref="A139:J139"/>
    <mergeCell ref="K139:R139"/>
    <mergeCell ref="A140:B140"/>
    <mergeCell ref="C140:D140"/>
    <mergeCell ref="E140:F141"/>
    <mergeCell ref="G140:J140"/>
    <mergeCell ref="K140:L140"/>
    <mergeCell ref="M140:N140"/>
    <mergeCell ref="O140:P140"/>
    <mergeCell ref="Q140:R140"/>
    <mergeCell ref="M143:N143"/>
    <mergeCell ref="M144:P145"/>
    <mergeCell ref="Q145:R145"/>
    <mergeCell ref="A146:B146"/>
    <mergeCell ref="E146:I146"/>
    <mergeCell ref="K146:R146"/>
    <mergeCell ref="A129:C129"/>
    <mergeCell ref="D129:E129"/>
    <mergeCell ref="F129:G129"/>
    <mergeCell ref="H129:J129"/>
    <mergeCell ref="A130:C130"/>
    <mergeCell ref="D130:E130"/>
    <mergeCell ref="F130:G130"/>
    <mergeCell ref="H130:J130"/>
    <mergeCell ref="A131:C131"/>
    <mergeCell ref="D131:E131"/>
    <mergeCell ref="F131:G131"/>
    <mergeCell ref="H131:J131"/>
    <mergeCell ref="K131:R131"/>
    <mergeCell ref="A132:C132"/>
    <mergeCell ref="D132:E132"/>
    <mergeCell ref="F132:G132"/>
    <mergeCell ref="H132:I132"/>
    <mergeCell ref="Q132:R137"/>
    <mergeCell ref="A133:C133"/>
    <mergeCell ref="D133:E133"/>
    <mergeCell ref="F133:G133"/>
    <mergeCell ref="H133:I133"/>
    <mergeCell ref="F134:G134"/>
    <mergeCell ref="H134:J134"/>
    <mergeCell ref="A136:B136"/>
    <mergeCell ref="A137:J137"/>
    <mergeCell ref="B124:R124"/>
    <mergeCell ref="A125:E125"/>
    <mergeCell ref="F125:H125"/>
    <mergeCell ref="K125:M125"/>
    <mergeCell ref="O125:Q125"/>
    <mergeCell ref="A126:C126"/>
    <mergeCell ref="D126:E126"/>
    <mergeCell ref="F126:J126"/>
    <mergeCell ref="K126:N126"/>
    <mergeCell ref="O126:R126"/>
    <mergeCell ref="D127:E127"/>
    <mergeCell ref="H127:J127"/>
    <mergeCell ref="M127:N127"/>
    <mergeCell ref="A128:B128"/>
    <mergeCell ref="D128:E128"/>
    <mergeCell ref="F128:G128"/>
    <mergeCell ref="H128:J128"/>
    <mergeCell ref="A116:B116"/>
    <mergeCell ref="K116:L116"/>
    <mergeCell ref="M116:R116"/>
    <mergeCell ref="A117:B117"/>
    <mergeCell ref="K117:L117"/>
    <mergeCell ref="M117:R117"/>
    <mergeCell ref="A118:B118"/>
    <mergeCell ref="N118:R119"/>
    <mergeCell ref="A119:B119"/>
    <mergeCell ref="K119:L119"/>
    <mergeCell ref="A120:B120"/>
    <mergeCell ref="K120:L120"/>
    <mergeCell ref="M120:R120"/>
    <mergeCell ref="A121:B121"/>
    <mergeCell ref="K121:R122"/>
    <mergeCell ref="A122:B122"/>
    <mergeCell ref="A123:B123"/>
    <mergeCell ref="K123:P123"/>
    <mergeCell ref="Q123:R123"/>
    <mergeCell ref="A107:J107"/>
    <mergeCell ref="M107:P107"/>
    <mergeCell ref="Q107:R107"/>
    <mergeCell ref="A108:J108"/>
    <mergeCell ref="K108:R108"/>
    <mergeCell ref="A109:B109"/>
    <mergeCell ref="C109:D109"/>
    <mergeCell ref="E109:F110"/>
    <mergeCell ref="G109:J109"/>
    <mergeCell ref="K109:L109"/>
    <mergeCell ref="M109:N109"/>
    <mergeCell ref="O109:P109"/>
    <mergeCell ref="Q109:R109"/>
    <mergeCell ref="M112:N112"/>
    <mergeCell ref="M113:P114"/>
    <mergeCell ref="Q114:R114"/>
    <mergeCell ref="A115:B115"/>
    <mergeCell ref="E115:I115"/>
    <mergeCell ref="K115:R115"/>
    <mergeCell ref="A98:C98"/>
    <mergeCell ref="D98:E98"/>
    <mergeCell ref="F98:G98"/>
    <mergeCell ref="H98:J98"/>
    <mergeCell ref="A99:C99"/>
    <mergeCell ref="D99:E99"/>
    <mergeCell ref="F99:G99"/>
    <mergeCell ref="H99:J99"/>
    <mergeCell ref="A100:C100"/>
    <mergeCell ref="D100:E100"/>
    <mergeCell ref="F100:G100"/>
    <mergeCell ref="H100:J100"/>
    <mergeCell ref="K100:R100"/>
    <mergeCell ref="A101:C101"/>
    <mergeCell ref="D101:E101"/>
    <mergeCell ref="F101:G101"/>
    <mergeCell ref="H101:I101"/>
    <mergeCell ref="Q101:R106"/>
    <mergeCell ref="A102:C102"/>
    <mergeCell ref="D102:E102"/>
    <mergeCell ref="F102:G102"/>
    <mergeCell ref="H102:I102"/>
    <mergeCell ref="F103:G103"/>
    <mergeCell ref="H103:J103"/>
    <mergeCell ref="A105:B105"/>
    <mergeCell ref="A106:J106"/>
    <mergeCell ref="B93:R93"/>
    <mergeCell ref="A94:E94"/>
    <mergeCell ref="F94:H94"/>
    <mergeCell ref="K94:M94"/>
    <mergeCell ref="O94:Q94"/>
    <mergeCell ref="A95:C95"/>
    <mergeCell ref="D95:E95"/>
    <mergeCell ref="F95:J95"/>
    <mergeCell ref="K95:N95"/>
    <mergeCell ref="O95:R95"/>
    <mergeCell ref="D96:E96"/>
    <mergeCell ref="H96:J96"/>
    <mergeCell ref="M96:N96"/>
    <mergeCell ref="A97:B97"/>
    <mergeCell ref="D97:E97"/>
    <mergeCell ref="F97:G97"/>
    <mergeCell ref="H97:J97"/>
    <mergeCell ref="A85:B85"/>
    <mergeCell ref="K85:L85"/>
    <mergeCell ref="M85:R85"/>
    <mergeCell ref="A86:B86"/>
    <mergeCell ref="K86:L86"/>
    <mergeCell ref="M86:R86"/>
    <mergeCell ref="A87:B87"/>
    <mergeCell ref="N87:R88"/>
    <mergeCell ref="A88:B88"/>
    <mergeCell ref="K88:L88"/>
    <mergeCell ref="A89:B89"/>
    <mergeCell ref="K89:L89"/>
    <mergeCell ref="M89:R89"/>
    <mergeCell ref="A90:B90"/>
    <mergeCell ref="K90:R91"/>
    <mergeCell ref="A91:B91"/>
    <mergeCell ref="A92:B92"/>
    <mergeCell ref="K92:P92"/>
    <mergeCell ref="Q92:R92"/>
    <mergeCell ref="A76:J76"/>
    <mergeCell ref="M76:P76"/>
    <mergeCell ref="Q76:R76"/>
    <mergeCell ref="A77:J77"/>
    <mergeCell ref="K77:R77"/>
    <mergeCell ref="A78:B78"/>
    <mergeCell ref="C78:D78"/>
    <mergeCell ref="E78:F79"/>
    <mergeCell ref="G78:J78"/>
    <mergeCell ref="K78:L78"/>
    <mergeCell ref="M78:N78"/>
    <mergeCell ref="O78:P78"/>
    <mergeCell ref="Q78:R78"/>
    <mergeCell ref="M81:N81"/>
    <mergeCell ref="M82:P83"/>
    <mergeCell ref="Q83:R83"/>
    <mergeCell ref="A84:B84"/>
    <mergeCell ref="E84:I84"/>
    <mergeCell ref="K84:R84"/>
    <mergeCell ref="A67:C67"/>
    <mergeCell ref="D67:E67"/>
    <mergeCell ref="F67:G67"/>
    <mergeCell ref="H67:J67"/>
    <mergeCell ref="A68:C68"/>
    <mergeCell ref="D68:E68"/>
    <mergeCell ref="F68:G68"/>
    <mergeCell ref="H68:J68"/>
    <mergeCell ref="A69:C69"/>
    <mergeCell ref="D69:E69"/>
    <mergeCell ref="F69:G69"/>
    <mergeCell ref="H69:J69"/>
    <mergeCell ref="K69:R69"/>
    <mergeCell ref="A70:C70"/>
    <mergeCell ref="D70:E70"/>
    <mergeCell ref="F70:G70"/>
    <mergeCell ref="H70:I70"/>
    <mergeCell ref="Q70:R75"/>
    <mergeCell ref="A71:C71"/>
    <mergeCell ref="D71:E71"/>
    <mergeCell ref="F71:G71"/>
    <mergeCell ref="H71:I71"/>
    <mergeCell ref="F72:G72"/>
    <mergeCell ref="H72:J72"/>
    <mergeCell ref="A74:B74"/>
    <mergeCell ref="A75:J75"/>
    <mergeCell ref="B62:R62"/>
    <mergeCell ref="A63:E63"/>
    <mergeCell ref="F63:H63"/>
    <mergeCell ref="K63:M63"/>
    <mergeCell ref="O63:Q63"/>
    <mergeCell ref="A64:C64"/>
    <mergeCell ref="D64:E64"/>
    <mergeCell ref="F64:J64"/>
    <mergeCell ref="K64:N64"/>
    <mergeCell ref="O64:R64"/>
    <mergeCell ref="D65:E65"/>
    <mergeCell ref="H65:J65"/>
    <mergeCell ref="M65:N65"/>
    <mergeCell ref="A66:B66"/>
    <mergeCell ref="D66:E66"/>
    <mergeCell ref="F66:G66"/>
    <mergeCell ref="H66:J66"/>
    <mergeCell ref="A54:B54"/>
    <mergeCell ref="K54:L54"/>
    <mergeCell ref="M54:R54"/>
    <mergeCell ref="A55:B55"/>
    <mergeCell ref="K55:L55"/>
    <mergeCell ref="M55:R55"/>
    <mergeCell ref="A56:B56"/>
    <mergeCell ref="N56:R57"/>
    <mergeCell ref="A57:B57"/>
    <mergeCell ref="K57:L57"/>
    <mergeCell ref="A58:B58"/>
    <mergeCell ref="K58:L58"/>
    <mergeCell ref="M58:R58"/>
    <mergeCell ref="A59:B59"/>
    <mergeCell ref="K59:R60"/>
    <mergeCell ref="A60:B60"/>
    <mergeCell ref="A61:B61"/>
    <mergeCell ref="K61:P61"/>
    <mergeCell ref="Q61:R61"/>
    <mergeCell ref="A45:J45"/>
    <mergeCell ref="M45:P45"/>
    <mergeCell ref="Q45:R45"/>
    <mergeCell ref="A46:J46"/>
    <mergeCell ref="K46:R46"/>
    <mergeCell ref="A47:B47"/>
    <mergeCell ref="C47:D47"/>
    <mergeCell ref="E47:F48"/>
    <mergeCell ref="G47:J47"/>
    <mergeCell ref="K47:L47"/>
    <mergeCell ref="M47:N47"/>
    <mergeCell ref="O47:P47"/>
    <mergeCell ref="Q47:R47"/>
    <mergeCell ref="M50:N50"/>
    <mergeCell ref="M51:P52"/>
    <mergeCell ref="Q52:R52"/>
    <mergeCell ref="A53:B53"/>
    <mergeCell ref="E53:I53"/>
    <mergeCell ref="K53:R53"/>
    <mergeCell ref="A36:C36"/>
    <mergeCell ref="D36:E36"/>
    <mergeCell ref="F36:G36"/>
    <mergeCell ref="H36:J36"/>
    <mergeCell ref="A37:C37"/>
    <mergeCell ref="D37:E37"/>
    <mergeCell ref="F37:G37"/>
    <mergeCell ref="H37:J37"/>
    <mergeCell ref="A38:C38"/>
    <mergeCell ref="D38:E38"/>
    <mergeCell ref="F38:G38"/>
    <mergeCell ref="H38:J38"/>
    <mergeCell ref="K38:R38"/>
    <mergeCell ref="A39:C39"/>
    <mergeCell ref="D39:E39"/>
    <mergeCell ref="F39:G39"/>
    <mergeCell ref="H39:I39"/>
    <mergeCell ref="Q39:R44"/>
    <mergeCell ref="A40:C40"/>
    <mergeCell ref="D40:E40"/>
    <mergeCell ref="F40:G40"/>
    <mergeCell ref="H40:I40"/>
    <mergeCell ref="F41:G41"/>
    <mergeCell ref="H41:J41"/>
    <mergeCell ref="A43:B43"/>
    <mergeCell ref="A44:J44"/>
    <mergeCell ref="B31:R31"/>
    <mergeCell ref="A32:E32"/>
    <mergeCell ref="F32:H32"/>
    <mergeCell ref="K32:M32"/>
    <mergeCell ref="O32:Q32"/>
    <mergeCell ref="A33:C33"/>
    <mergeCell ref="D33:E33"/>
    <mergeCell ref="F33:J33"/>
    <mergeCell ref="K33:N33"/>
    <mergeCell ref="O33:R33"/>
    <mergeCell ref="D34:E34"/>
    <mergeCell ref="H34:J34"/>
    <mergeCell ref="M34:N34"/>
    <mergeCell ref="A35:B35"/>
    <mergeCell ref="D35:E35"/>
    <mergeCell ref="F35:G35"/>
    <mergeCell ref="H35:J35"/>
    <mergeCell ref="A28:B28"/>
    <mergeCell ref="K28:R29"/>
    <mergeCell ref="A29:B29"/>
    <mergeCell ref="A30:B30"/>
    <mergeCell ref="K30:P30"/>
    <mergeCell ref="Q30:R30"/>
    <mergeCell ref="A25:B25"/>
    <mergeCell ref="N25:R26"/>
    <mergeCell ref="A26:B26"/>
    <mergeCell ref="K26:L26"/>
    <mergeCell ref="A27:B27"/>
    <mergeCell ref="K27:L27"/>
    <mergeCell ref="M27:R27"/>
    <mergeCell ref="A23:B23"/>
    <mergeCell ref="K23:L23"/>
    <mergeCell ref="M23:R23"/>
    <mergeCell ref="A24:B24"/>
    <mergeCell ref="K24:L24"/>
    <mergeCell ref="M24:R24"/>
    <mergeCell ref="F5:G5"/>
    <mergeCell ref="H5:J5"/>
    <mergeCell ref="A6:C6"/>
    <mergeCell ref="D6:E6"/>
    <mergeCell ref="F6:G6"/>
    <mergeCell ref="H6:J6"/>
    <mergeCell ref="O16:P16"/>
    <mergeCell ref="Q16:R16"/>
    <mergeCell ref="M19:N19"/>
    <mergeCell ref="M20:P21"/>
    <mergeCell ref="Q21:R21"/>
    <mergeCell ref="A22:B22"/>
    <mergeCell ref="E22:I22"/>
    <mergeCell ref="K22:R22"/>
    <mergeCell ref="A16:B16"/>
    <mergeCell ref="C16:D16"/>
    <mergeCell ref="E16:F17"/>
    <mergeCell ref="G16:J16"/>
    <mergeCell ref="A5:C5"/>
    <mergeCell ref="K16:L16"/>
    <mergeCell ref="M16:N16"/>
    <mergeCell ref="A12:B12"/>
    <mergeCell ref="A13:J13"/>
    <mergeCell ref="A14:J14"/>
    <mergeCell ref="M14:P14"/>
    <mergeCell ref="Q14:R14"/>
    <mergeCell ref="A15:J15"/>
    <mergeCell ref="K15:R15"/>
    <mergeCell ref="A7:C7"/>
    <mergeCell ref="D7:E7"/>
    <mergeCell ref="F7:G7"/>
    <mergeCell ref="H7:J7"/>
    <mergeCell ref="K7:R7"/>
    <mergeCell ref="A8:C8"/>
    <mergeCell ref="D8:E8"/>
    <mergeCell ref="F8:G8"/>
    <mergeCell ref="H8:I8"/>
    <mergeCell ref="Q8:R13"/>
    <mergeCell ref="B341:R341"/>
    <mergeCell ref="D5:E5"/>
    <mergeCell ref="A1:E1"/>
    <mergeCell ref="F1:H1"/>
    <mergeCell ref="K1:M1"/>
    <mergeCell ref="O1:Q1"/>
    <mergeCell ref="A2:C2"/>
    <mergeCell ref="D2:E2"/>
    <mergeCell ref="F2:J2"/>
    <mergeCell ref="K2:N2"/>
    <mergeCell ref="O2:R2"/>
    <mergeCell ref="F10:G10"/>
    <mergeCell ref="H10:J10"/>
    <mergeCell ref="D3:E3"/>
    <mergeCell ref="H3:J3"/>
    <mergeCell ref="M3:N3"/>
    <mergeCell ref="A4:B4"/>
    <mergeCell ref="D4:E4"/>
    <mergeCell ref="F4:G4"/>
    <mergeCell ref="H4:J4"/>
    <mergeCell ref="A9:C9"/>
    <mergeCell ref="D9:E9"/>
    <mergeCell ref="F9:G9"/>
    <mergeCell ref="H9:I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106"/>
  <sheetViews>
    <sheetView tabSelected="1" topLeftCell="A67" workbookViewId="0">
      <selection activeCell="K7" sqref="K7"/>
    </sheetView>
  </sheetViews>
  <sheetFormatPr defaultRowHeight="15" x14ac:dyDescent="0.25"/>
  <cols>
    <col min="3" max="3" width="5.85546875" customWidth="1"/>
    <col min="4" max="5" width="12.5703125" customWidth="1"/>
    <col min="6" max="7" width="15.28515625" customWidth="1"/>
    <col min="8" max="8" width="11.5703125" customWidth="1"/>
  </cols>
  <sheetData>
    <row r="4" spans="1:17" x14ac:dyDescent="0.25">
      <c r="A4" t="s">
        <v>177</v>
      </c>
      <c r="B4" s="106">
        <v>7</v>
      </c>
      <c r="C4" s="105"/>
      <c r="D4" t="s">
        <v>203</v>
      </c>
    </row>
    <row r="5" spans="1:17" x14ac:dyDescent="0.25">
      <c r="A5" s="101" t="s">
        <v>171</v>
      </c>
      <c r="B5" s="302" t="s">
        <v>172</v>
      </c>
      <c r="C5" s="302"/>
      <c r="D5" s="102" t="s">
        <v>173</v>
      </c>
      <c r="E5" s="102" t="s">
        <v>175</v>
      </c>
      <c r="F5" s="102" t="s">
        <v>176</v>
      </c>
      <c r="G5" s="111" t="s">
        <v>6</v>
      </c>
      <c r="H5" s="102" t="s">
        <v>174</v>
      </c>
      <c r="I5" s="303" t="s">
        <v>178</v>
      </c>
      <c r="J5" s="303" t="s">
        <v>179</v>
      </c>
      <c r="K5" s="303" t="s">
        <v>180</v>
      </c>
      <c r="L5" s="303" t="s">
        <v>181</v>
      </c>
      <c r="M5" s="303" t="s">
        <v>182</v>
      </c>
      <c r="N5" s="303" t="s">
        <v>183</v>
      </c>
      <c r="O5" s="303" t="s">
        <v>215</v>
      </c>
    </row>
    <row r="6" spans="1:17" x14ac:dyDescent="0.25">
      <c r="A6" s="103">
        <v>1</v>
      </c>
      <c r="B6" s="298" t="str">
        <f>Мерилки!A33</f>
        <v>СКИФ</v>
      </c>
      <c r="C6" s="299"/>
      <c r="D6" s="103">
        <f>Мерилки!B34</f>
        <v>211</v>
      </c>
      <c r="E6" s="103" t="s">
        <v>184</v>
      </c>
      <c r="F6" s="103" t="s">
        <v>185</v>
      </c>
      <c r="G6" s="103" t="s">
        <v>213</v>
      </c>
      <c r="H6" s="104">
        <f>Мерилки!H49</f>
        <v>6.0508316655399064</v>
      </c>
      <c r="I6" s="304">
        <v>0.53125</v>
      </c>
      <c r="J6" s="304">
        <v>0.5809375</v>
      </c>
      <c r="K6" s="305">
        <f t="shared" ref="K6:K16" si="0">(J6-I6)*24</f>
        <v>1.1924999999999999</v>
      </c>
      <c r="L6" s="305">
        <f>B4/K6</f>
        <v>5.8700209643605872</v>
      </c>
      <c r="M6" s="305">
        <f t="shared" ref="M6:M16" si="1">L6/H6</f>
        <v>0.97011804142411462</v>
      </c>
      <c r="N6" s="306">
        <v>1</v>
      </c>
      <c r="O6" s="307">
        <v>1</v>
      </c>
      <c r="P6" s="308">
        <v>1</v>
      </c>
      <c r="Q6" s="309">
        <v>0.97011804142411462</v>
      </c>
    </row>
    <row r="7" spans="1:17" x14ac:dyDescent="0.25">
      <c r="A7" s="103">
        <v>2</v>
      </c>
      <c r="B7" s="298" t="str">
        <f>Мерилки!A64</f>
        <v>ФЛАМИНГО</v>
      </c>
      <c r="C7" s="299"/>
      <c r="D7" s="103">
        <f>Мерилки!B65</f>
        <v>555</v>
      </c>
      <c r="E7" s="103" t="s">
        <v>134</v>
      </c>
      <c r="F7" s="103" t="s">
        <v>186</v>
      </c>
      <c r="G7" s="103" t="s">
        <v>208</v>
      </c>
      <c r="H7" s="104">
        <f>Мерилки!H80</f>
        <v>5.6610265490156477</v>
      </c>
      <c r="I7" s="304">
        <v>0.53125</v>
      </c>
      <c r="J7" s="304">
        <v>0.58900462962962963</v>
      </c>
      <c r="K7" s="305">
        <f t="shared" si="0"/>
        <v>1.3861111111111111</v>
      </c>
      <c r="L7" s="305">
        <f>B4/K7</f>
        <v>5.0501002004008013</v>
      </c>
      <c r="M7" s="305">
        <f t="shared" si="1"/>
        <v>0.89208205555561726</v>
      </c>
      <c r="N7" s="306">
        <v>7</v>
      </c>
      <c r="O7" s="307">
        <v>2</v>
      </c>
      <c r="P7" s="308">
        <v>2</v>
      </c>
      <c r="Q7" s="309">
        <v>0.95152841610619054</v>
      </c>
    </row>
    <row r="8" spans="1:17" x14ac:dyDescent="0.25">
      <c r="A8" s="103">
        <v>3</v>
      </c>
      <c r="B8" s="298" t="str">
        <f>Мерилки!A95</f>
        <v>EK-MARINE</v>
      </c>
      <c r="C8" s="299"/>
      <c r="D8" s="103">
        <f>Мерилки!B96</f>
        <v>215</v>
      </c>
      <c r="E8" s="103" t="s">
        <v>125</v>
      </c>
      <c r="F8" s="103" t="s">
        <v>187</v>
      </c>
      <c r="G8" s="103" t="s">
        <v>208</v>
      </c>
      <c r="H8" s="104">
        <f>Мерилки!H111</f>
        <v>5.6364133947095141</v>
      </c>
      <c r="I8" s="304">
        <v>0.53125</v>
      </c>
      <c r="J8" s="304">
        <v>0.6071064814814815</v>
      </c>
      <c r="K8" s="305">
        <f t="shared" si="0"/>
        <v>1.8205555555555559</v>
      </c>
      <c r="L8" s="305">
        <f>B4/K8</f>
        <v>3.8449801647848636</v>
      </c>
      <c r="M8" s="305">
        <f t="shared" si="1"/>
        <v>0.6821678779618725</v>
      </c>
      <c r="N8" s="306">
        <v>10</v>
      </c>
      <c r="O8" s="307">
        <v>10</v>
      </c>
      <c r="P8" s="308">
        <v>3</v>
      </c>
      <c r="Q8" s="309">
        <v>0.92635660141553655</v>
      </c>
    </row>
    <row r="9" spans="1:17" x14ac:dyDescent="0.25">
      <c r="A9" s="103">
        <v>4</v>
      </c>
      <c r="B9" s="298" t="str">
        <f>Мерилки!A126</f>
        <v>СИЛУЭТ</v>
      </c>
      <c r="C9" s="299"/>
      <c r="D9" s="103">
        <f>Мерилки!B127</f>
        <v>1435</v>
      </c>
      <c r="E9" s="103" t="s">
        <v>137</v>
      </c>
      <c r="F9" s="103" t="s">
        <v>187</v>
      </c>
      <c r="G9" s="103" t="s">
        <v>214</v>
      </c>
      <c r="H9" s="104">
        <f>Мерилки!H142</f>
        <v>5.2232147304664256</v>
      </c>
      <c r="I9" s="304">
        <v>0.53125</v>
      </c>
      <c r="J9" s="304">
        <v>0.59424768518518511</v>
      </c>
      <c r="K9" s="305">
        <f t="shared" si="0"/>
        <v>1.5119444444444428</v>
      </c>
      <c r="L9" s="305">
        <f>B4/K9</f>
        <v>4.6297997427889079</v>
      </c>
      <c r="M9" s="305">
        <f t="shared" si="1"/>
        <v>0.88638893510998229</v>
      </c>
      <c r="N9" s="306">
        <v>8</v>
      </c>
      <c r="O9" s="307">
        <v>4</v>
      </c>
      <c r="P9" s="308">
        <v>4</v>
      </c>
      <c r="Q9" s="309">
        <v>0.92329436245191443</v>
      </c>
    </row>
    <row r="10" spans="1:17" x14ac:dyDescent="0.25">
      <c r="A10" s="103">
        <v>5</v>
      </c>
      <c r="B10" s="298" t="str">
        <f>Мерилки!A157</f>
        <v>КРЕДО</v>
      </c>
      <c r="C10" s="299"/>
      <c r="D10" s="103">
        <f>Мерилки!B158</f>
        <v>581</v>
      </c>
      <c r="E10" s="103" t="s">
        <v>137</v>
      </c>
      <c r="F10" s="103" t="s">
        <v>190</v>
      </c>
      <c r="G10" s="103" t="s">
        <v>214</v>
      </c>
      <c r="H10" s="104">
        <f>Мерилки!H173</f>
        <v>5.2006728935257129</v>
      </c>
      <c r="I10" s="304">
        <v>0.53125</v>
      </c>
      <c r="J10" s="304">
        <v>0.59381944444444446</v>
      </c>
      <c r="K10" s="305">
        <f t="shared" si="0"/>
        <v>1.5016666666666669</v>
      </c>
      <c r="L10" s="305">
        <f>B4/K10</f>
        <v>4.6614872364039943</v>
      </c>
      <c r="M10" s="305">
        <f t="shared" si="1"/>
        <v>0.89632386651486051</v>
      </c>
      <c r="N10" s="306">
        <v>6</v>
      </c>
      <c r="O10" s="307">
        <v>3</v>
      </c>
      <c r="P10" s="308">
        <v>5</v>
      </c>
      <c r="Q10" s="309">
        <v>0.92201351376863216</v>
      </c>
    </row>
    <row r="11" spans="1:17" x14ac:dyDescent="0.25">
      <c r="A11" s="103">
        <v>6</v>
      </c>
      <c r="B11" s="300" t="s">
        <v>194</v>
      </c>
      <c r="C11" s="301"/>
      <c r="D11" s="103">
        <v>169</v>
      </c>
      <c r="E11" s="103" t="s">
        <v>134</v>
      </c>
      <c r="F11" s="103" t="s">
        <v>188</v>
      </c>
      <c r="G11" s="103" t="s">
        <v>208</v>
      </c>
      <c r="H11" s="104">
        <v>5.6610265490156477</v>
      </c>
      <c r="I11" s="304">
        <v>0.53125</v>
      </c>
      <c r="J11" s="304">
        <v>0.59564814814814815</v>
      </c>
      <c r="K11" s="305">
        <f t="shared" si="0"/>
        <v>1.5455555555555556</v>
      </c>
      <c r="L11" s="305">
        <f>B4/K11</f>
        <v>4.5291157440690153</v>
      </c>
      <c r="M11" s="305">
        <f t="shared" si="1"/>
        <v>0.80005202322475388</v>
      </c>
      <c r="N11" s="306">
        <v>9</v>
      </c>
      <c r="O11" s="307">
        <v>5</v>
      </c>
      <c r="P11" s="308">
        <v>6</v>
      </c>
      <c r="Q11" s="309">
        <v>0.89632386651486051</v>
      </c>
    </row>
    <row r="12" spans="1:17" x14ac:dyDescent="0.25">
      <c r="A12" s="103">
        <v>7</v>
      </c>
      <c r="B12" s="298" t="str">
        <f>Мерилки!A188</f>
        <v>МИР</v>
      </c>
      <c r="C12" s="299"/>
      <c r="D12" s="103">
        <f>Мерилки!B189</f>
        <v>1138</v>
      </c>
      <c r="E12" s="103" t="s">
        <v>191</v>
      </c>
      <c r="F12" s="103" t="s">
        <v>187</v>
      </c>
      <c r="G12" s="103" t="s">
        <v>197</v>
      </c>
      <c r="H12" s="104">
        <v>4.7442327037989909</v>
      </c>
      <c r="I12" s="304">
        <v>0.53125</v>
      </c>
      <c r="J12" s="304">
        <v>0.59783564814814816</v>
      </c>
      <c r="K12" s="305">
        <f t="shared" si="0"/>
        <v>1.5980555555555558</v>
      </c>
      <c r="L12" s="305">
        <f>B4/K12</f>
        <v>4.3803233095776113</v>
      </c>
      <c r="M12" s="305">
        <f t="shared" si="1"/>
        <v>0.92329436245191443</v>
      </c>
      <c r="N12" s="306">
        <v>4</v>
      </c>
      <c r="O12" s="307">
        <v>8</v>
      </c>
      <c r="P12" s="308">
        <v>7</v>
      </c>
      <c r="Q12" s="309">
        <v>0.89208205555561726</v>
      </c>
    </row>
    <row r="13" spans="1:17" x14ac:dyDescent="0.25">
      <c r="A13" s="103">
        <v>8</v>
      </c>
      <c r="B13" s="298" t="str">
        <f>Мерилки!A219</f>
        <v>АККОРД</v>
      </c>
      <c r="C13" s="299"/>
      <c r="D13" s="103">
        <f>Мерилки!B220</f>
        <v>1069</v>
      </c>
      <c r="E13" s="103" t="s">
        <v>192</v>
      </c>
      <c r="F13" s="103" t="s">
        <v>187</v>
      </c>
      <c r="G13" s="103" t="s">
        <v>197</v>
      </c>
      <c r="H13" s="104">
        <v>4.7566614653026491</v>
      </c>
      <c r="I13" s="304">
        <v>0.53125</v>
      </c>
      <c r="J13" s="304">
        <v>0.59744212962962961</v>
      </c>
      <c r="K13" s="305">
        <f t="shared" si="0"/>
        <v>1.5886111111111108</v>
      </c>
      <c r="L13" s="305">
        <f>B4/K13</f>
        <v>4.4063647490820079</v>
      </c>
      <c r="M13" s="305">
        <f t="shared" si="1"/>
        <v>0.92635660141553655</v>
      </c>
      <c r="N13" s="306">
        <v>3</v>
      </c>
      <c r="O13" s="307">
        <v>7</v>
      </c>
      <c r="P13" s="308">
        <v>8</v>
      </c>
      <c r="Q13" s="309">
        <v>0.88638893510998229</v>
      </c>
    </row>
    <row r="14" spans="1:17" x14ac:dyDescent="0.25">
      <c r="A14" s="103">
        <v>9</v>
      </c>
      <c r="B14" s="298" t="str">
        <f>Мерилки!A250</f>
        <v>АСТРА</v>
      </c>
      <c r="C14" s="299"/>
      <c r="D14" s="103">
        <f>Мерилки!B251</f>
        <v>1247</v>
      </c>
      <c r="E14" s="103" t="s">
        <v>191</v>
      </c>
      <c r="F14" s="103" t="s">
        <v>187</v>
      </c>
      <c r="G14" s="103" t="s">
        <v>197</v>
      </c>
      <c r="H14" s="104">
        <v>4.7048689353642441</v>
      </c>
      <c r="I14" s="304">
        <v>0.53125</v>
      </c>
      <c r="J14" s="304">
        <v>0.59640046296296301</v>
      </c>
      <c r="K14" s="305">
        <f t="shared" si="0"/>
        <v>1.5636111111111122</v>
      </c>
      <c r="L14" s="305">
        <f>B4/K14</f>
        <v>4.476816486054358</v>
      </c>
      <c r="M14" s="305">
        <f t="shared" si="1"/>
        <v>0.95152841610619054</v>
      </c>
      <c r="N14" s="306">
        <v>2</v>
      </c>
      <c r="O14" s="307">
        <v>6</v>
      </c>
      <c r="P14" s="308">
        <v>9</v>
      </c>
      <c r="Q14" s="309">
        <v>0.80005202322475388</v>
      </c>
    </row>
    <row r="15" spans="1:17" x14ac:dyDescent="0.25">
      <c r="A15" s="103">
        <v>10</v>
      </c>
      <c r="B15" s="298" t="s">
        <v>167</v>
      </c>
      <c r="C15" s="299"/>
      <c r="D15" s="103">
        <v>1059</v>
      </c>
      <c r="E15" s="103" t="s">
        <v>193</v>
      </c>
      <c r="F15" s="103" t="s">
        <v>187</v>
      </c>
      <c r="G15" s="103" t="s">
        <v>198</v>
      </c>
      <c r="H15" s="104">
        <v>4.5393600072583373</v>
      </c>
      <c r="I15" s="304">
        <v>0.53125</v>
      </c>
      <c r="J15" s="304">
        <v>0.60093750000000001</v>
      </c>
      <c r="K15" s="305">
        <f t="shared" si="0"/>
        <v>1.6725000000000003</v>
      </c>
      <c r="L15" s="305">
        <f>B4/K15</f>
        <v>4.1853512705530633</v>
      </c>
      <c r="M15" s="305">
        <f t="shared" si="1"/>
        <v>0.92201351376863216</v>
      </c>
      <c r="N15" s="306">
        <v>5</v>
      </c>
      <c r="O15" s="307">
        <v>9</v>
      </c>
      <c r="P15" s="308">
        <v>10</v>
      </c>
      <c r="Q15" s="309">
        <v>0.6821678779618725</v>
      </c>
    </row>
    <row r="16" spans="1:17" x14ac:dyDescent="0.25">
      <c r="A16" s="103">
        <v>11</v>
      </c>
      <c r="B16" s="300" t="s">
        <v>195</v>
      </c>
      <c r="C16" s="301"/>
      <c r="D16" s="103">
        <v>2107</v>
      </c>
      <c r="E16" s="103" t="s">
        <v>196</v>
      </c>
      <c r="F16" s="103" t="s">
        <v>187</v>
      </c>
      <c r="G16" s="103" t="s">
        <v>198</v>
      </c>
      <c r="H16" s="104">
        <v>4.5732393405527691</v>
      </c>
      <c r="I16" s="304" t="s">
        <v>202</v>
      </c>
      <c r="J16" s="304"/>
      <c r="K16" s="305" t="e">
        <f t="shared" si="0"/>
        <v>#VALUE!</v>
      </c>
      <c r="L16" s="305" t="e">
        <f>B4/K16</f>
        <v>#VALUE!</v>
      </c>
      <c r="M16" s="305" t="e">
        <f t="shared" si="1"/>
        <v>#VALUE!</v>
      </c>
      <c r="N16" s="306"/>
      <c r="O16" s="306"/>
      <c r="P16" s="308">
        <v>11</v>
      </c>
      <c r="Q16" s="309" t="e">
        <v>#VALUE!</v>
      </c>
    </row>
    <row r="17" spans="1:17" x14ac:dyDescent="0.25">
      <c r="A17" s="100"/>
    </row>
    <row r="18" spans="1:17" x14ac:dyDescent="0.25">
      <c r="A18" t="s">
        <v>177</v>
      </c>
      <c r="B18" s="106">
        <v>7</v>
      </c>
      <c r="C18" s="105"/>
      <c r="D18" t="s">
        <v>204</v>
      </c>
    </row>
    <row r="19" spans="1:17" x14ac:dyDescent="0.25">
      <c r="A19" s="101" t="s">
        <v>171</v>
      </c>
      <c r="B19" s="302" t="s">
        <v>172</v>
      </c>
      <c r="C19" s="302"/>
      <c r="D19" s="111" t="s">
        <v>173</v>
      </c>
      <c r="E19" s="111" t="s">
        <v>175</v>
      </c>
      <c r="F19" s="111" t="s">
        <v>176</v>
      </c>
      <c r="G19" s="111" t="s">
        <v>6</v>
      </c>
      <c r="H19" s="111" t="s">
        <v>174</v>
      </c>
      <c r="I19" s="303" t="s">
        <v>178</v>
      </c>
      <c r="J19" s="303" t="s">
        <v>179</v>
      </c>
      <c r="K19" s="303" t="s">
        <v>180</v>
      </c>
      <c r="L19" s="303" t="s">
        <v>181</v>
      </c>
      <c r="M19" s="303" t="s">
        <v>182</v>
      </c>
      <c r="N19" s="303" t="s">
        <v>183</v>
      </c>
      <c r="O19" s="303" t="s">
        <v>215</v>
      </c>
    </row>
    <row r="20" spans="1:17" x14ac:dyDescent="0.25">
      <c r="A20" s="103">
        <v>1</v>
      </c>
      <c r="B20" s="298" t="s">
        <v>165</v>
      </c>
      <c r="C20" s="299"/>
      <c r="D20" s="103">
        <v>211</v>
      </c>
      <c r="E20" s="103" t="s">
        <v>184</v>
      </c>
      <c r="F20" s="103" t="s">
        <v>185</v>
      </c>
      <c r="G20" s="103" t="s">
        <v>213</v>
      </c>
      <c r="H20" s="104">
        <v>6.0508316655399064</v>
      </c>
      <c r="I20" s="304">
        <v>0.52430555555555558</v>
      </c>
      <c r="J20" s="304">
        <v>0.58008101851851845</v>
      </c>
      <c r="K20" s="305">
        <f t="shared" ref="K20:K30" si="2">(J20-I20)*24</f>
        <v>1.338611111111109</v>
      </c>
      <c r="L20" s="305">
        <f>B18/K20</f>
        <v>5.2293006847893837</v>
      </c>
      <c r="M20" s="305">
        <f t="shared" ref="M20:M30" si="3">L20/H20</f>
        <v>0.86422841913959958</v>
      </c>
      <c r="N20" s="306">
        <v>8</v>
      </c>
      <c r="O20" s="307">
        <v>1</v>
      </c>
      <c r="P20" s="308">
        <v>1</v>
      </c>
      <c r="Q20" s="309">
        <v>0.97673919680963461</v>
      </c>
    </row>
    <row r="21" spans="1:17" x14ac:dyDescent="0.25">
      <c r="A21" s="103">
        <v>2</v>
      </c>
      <c r="B21" s="298" t="s">
        <v>118</v>
      </c>
      <c r="C21" s="299"/>
      <c r="D21" s="103">
        <v>555</v>
      </c>
      <c r="E21" s="103" t="s">
        <v>134</v>
      </c>
      <c r="F21" s="103" t="s">
        <v>186</v>
      </c>
      <c r="G21" s="103" t="s">
        <v>208</v>
      </c>
      <c r="H21" s="104">
        <v>5.6610265490156477</v>
      </c>
      <c r="I21" s="304">
        <v>0.52430555555555558</v>
      </c>
      <c r="J21" s="304">
        <v>0.59078703703703705</v>
      </c>
      <c r="K21" s="305">
        <f t="shared" si="2"/>
        <v>1.5955555555555554</v>
      </c>
      <c r="L21" s="305">
        <f>B18/K21</f>
        <v>4.3871866295264628</v>
      </c>
      <c r="M21" s="305">
        <f t="shared" si="3"/>
        <v>0.77498075508748798</v>
      </c>
      <c r="N21" s="306">
        <v>10</v>
      </c>
      <c r="O21" s="307">
        <v>7</v>
      </c>
      <c r="P21" s="308">
        <v>2</v>
      </c>
      <c r="Q21" s="309">
        <v>0.9528739042912695</v>
      </c>
    </row>
    <row r="22" spans="1:17" x14ac:dyDescent="0.25">
      <c r="A22" s="103">
        <v>3</v>
      </c>
      <c r="B22" s="298" t="s">
        <v>124</v>
      </c>
      <c r="C22" s="299"/>
      <c r="D22" s="103">
        <v>215</v>
      </c>
      <c r="E22" s="103" t="s">
        <v>125</v>
      </c>
      <c r="F22" s="103" t="s">
        <v>187</v>
      </c>
      <c r="G22" s="103" t="s">
        <v>208</v>
      </c>
      <c r="H22" s="104">
        <v>5.6364133947095141</v>
      </c>
      <c r="I22" s="304">
        <v>0.52430555555555558</v>
      </c>
      <c r="J22" s="304">
        <v>0.6111226851851852</v>
      </c>
      <c r="K22" s="305">
        <f t="shared" si="2"/>
        <v>2.0836111111111109</v>
      </c>
      <c r="L22" s="305">
        <f>B18/K22</f>
        <v>3.3595520597253703</v>
      </c>
      <c r="M22" s="305">
        <f t="shared" si="3"/>
        <v>0.59604429704867534</v>
      </c>
      <c r="N22" s="306">
        <v>11</v>
      </c>
      <c r="O22" s="307">
        <v>11</v>
      </c>
      <c r="P22" s="308">
        <v>3</v>
      </c>
      <c r="Q22" s="309">
        <v>0.93868795202624433</v>
      </c>
    </row>
    <row r="23" spans="1:17" x14ac:dyDescent="0.25">
      <c r="A23" s="103">
        <v>4</v>
      </c>
      <c r="B23" s="298" t="s">
        <v>162</v>
      </c>
      <c r="C23" s="299"/>
      <c r="D23" s="103">
        <v>1435</v>
      </c>
      <c r="E23" s="103" t="s">
        <v>137</v>
      </c>
      <c r="F23" s="103" t="s">
        <v>187</v>
      </c>
      <c r="G23" s="103" t="s">
        <v>214</v>
      </c>
      <c r="H23" s="104">
        <v>5.2232147304664256</v>
      </c>
      <c r="I23" s="304">
        <v>0.52430555555555558</v>
      </c>
      <c r="J23" s="304">
        <v>0.58789351851851845</v>
      </c>
      <c r="K23" s="305">
        <f t="shared" si="2"/>
        <v>1.526111111111109</v>
      </c>
      <c r="L23" s="305">
        <f>B18/K23</f>
        <v>4.5868219876228675</v>
      </c>
      <c r="M23" s="305">
        <f t="shared" si="3"/>
        <v>0.87816071601813528</v>
      </c>
      <c r="N23" s="306">
        <v>7</v>
      </c>
      <c r="O23" s="307">
        <v>5</v>
      </c>
      <c r="P23" s="308">
        <v>4</v>
      </c>
      <c r="Q23" s="309">
        <v>0.91329306519702058</v>
      </c>
    </row>
    <row r="24" spans="1:17" x14ac:dyDescent="0.25">
      <c r="A24" s="103">
        <v>5</v>
      </c>
      <c r="B24" s="298" t="s">
        <v>136</v>
      </c>
      <c r="C24" s="299"/>
      <c r="D24" s="103">
        <v>581</v>
      </c>
      <c r="E24" s="103" t="s">
        <v>137</v>
      </c>
      <c r="F24" s="103" t="s">
        <v>190</v>
      </c>
      <c r="G24" s="103" t="s">
        <v>214</v>
      </c>
      <c r="H24" s="104">
        <v>5.2006728935257129</v>
      </c>
      <c r="I24" s="304">
        <v>0.52430555555555558</v>
      </c>
      <c r="J24" s="304">
        <v>0.58733796296296303</v>
      </c>
      <c r="K24" s="305">
        <f t="shared" si="2"/>
        <v>1.5127777777777789</v>
      </c>
      <c r="L24" s="305">
        <f>B18/K24</f>
        <v>4.627249357326475</v>
      </c>
      <c r="M24" s="305">
        <f t="shared" si="3"/>
        <v>0.88974051090329298</v>
      </c>
      <c r="N24" s="306">
        <v>6</v>
      </c>
      <c r="O24" s="307">
        <v>4</v>
      </c>
      <c r="P24" s="308">
        <v>5</v>
      </c>
      <c r="Q24" s="309">
        <v>0.90214756575689381</v>
      </c>
    </row>
    <row r="25" spans="1:17" x14ac:dyDescent="0.25">
      <c r="A25" s="103">
        <v>6</v>
      </c>
      <c r="B25" s="300" t="s">
        <v>194</v>
      </c>
      <c r="C25" s="301"/>
      <c r="D25" s="103">
        <v>169</v>
      </c>
      <c r="E25" s="103" t="s">
        <v>134</v>
      </c>
      <c r="F25" s="103" t="s">
        <v>188</v>
      </c>
      <c r="G25" s="103" t="s">
        <v>208</v>
      </c>
      <c r="H25" s="104">
        <v>5.6610265490156477</v>
      </c>
      <c r="I25" s="304">
        <v>0.52430555555555558</v>
      </c>
      <c r="J25" s="304">
        <v>0.58717592592592593</v>
      </c>
      <c r="K25" s="305">
        <f t="shared" si="2"/>
        <v>1.5088888888888885</v>
      </c>
      <c r="L25" s="305">
        <f>B18/K25</f>
        <v>4.63917525773196</v>
      </c>
      <c r="M25" s="305">
        <f t="shared" si="3"/>
        <v>0.81949364087307286</v>
      </c>
      <c r="N25" s="306">
        <v>9</v>
      </c>
      <c r="O25" s="307">
        <v>3</v>
      </c>
      <c r="P25" s="308">
        <v>6</v>
      </c>
      <c r="Q25" s="309">
        <v>0.88974051090329298</v>
      </c>
    </row>
    <row r="26" spans="1:17" x14ac:dyDescent="0.25">
      <c r="A26" s="103">
        <v>7</v>
      </c>
      <c r="B26" s="298" t="s">
        <v>152</v>
      </c>
      <c r="C26" s="299"/>
      <c r="D26" s="103">
        <v>1138</v>
      </c>
      <c r="E26" s="103" t="s">
        <v>191</v>
      </c>
      <c r="F26" s="103" t="s">
        <v>189</v>
      </c>
      <c r="G26" s="103" t="s">
        <v>197</v>
      </c>
      <c r="H26" s="104">
        <v>4.7442327037989909</v>
      </c>
      <c r="I26" s="304">
        <v>0.52430555555555558</v>
      </c>
      <c r="J26" s="304">
        <v>0.5916203703703703</v>
      </c>
      <c r="K26" s="305">
        <f t="shared" si="2"/>
        <v>1.6155555555555532</v>
      </c>
      <c r="L26" s="305">
        <f>B18/K26</f>
        <v>4.3328748280605289</v>
      </c>
      <c r="M26" s="305">
        <f t="shared" si="3"/>
        <v>0.91329306519702058</v>
      </c>
      <c r="N26" s="306">
        <v>4</v>
      </c>
      <c r="O26" s="307">
        <v>8</v>
      </c>
      <c r="P26" s="308">
        <v>7</v>
      </c>
      <c r="Q26" s="309">
        <v>0.87816071601813528</v>
      </c>
    </row>
    <row r="27" spans="1:17" x14ac:dyDescent="0.25">
      <c r="A27" s="103">
        <v>8</v>
      </c>
      <c r="B27" s="298" t="s">
        <v>144</v>
      </c>
      <c r="C27" s="299"/>
      <c r="D27" s="103">
        <v>1069</v>
      </c>
      <c r="E27" s="103" t="s">
        <v>192</v>
      </c>
      <c r="F27" s="103" t="s">
        <v>187</v>
      </c>
      <c r="G27" s="103" t="s">
        <v>197</v>
      </c>
      <c r="H27" s="104">
        <v>4.7566614653026491</v>
      </c>
      <c r="I27" s="304">
        <v>0.52430555555555558</v>
      </c>
      <c r="J27" s="304">
        <v>0.58708333333333329</v>
      </c>
      <c r="K27" s="305">
        <f t="shared" si="2"/>
        <v>1.506666666666665</v>
      </c>
      <c r="L27" s="305">
        <f>B18/K27</f>
        <v>4.646017699115049</v>
      </c>
      <c r="M27" s="305">
        <f t="shared" si="3"/>
        <v>0.97673919680963461</v>
      </c>
      <c r="N27" s="306">
        <v>1</v>
      </c>
      <c r="O27" s="307">
        <v>2</v>
      </c>
      <c r="P27" s="308">
        <v>8</v>
      </c>
      <c r="Q27" s="309">
        <v>0.86422841913959958</v>
      </c>
    </row>
    <row r="28" spans="1:17" x14ac:dyDescent="0.25">
      <c r="A28" s="103">
        <v>9</v>
      </c>
      <c r="B28" s="298" t="s">
        <v>158</v>
      </c>
      <c r="C28" s="299"/>
      <c r="D28" s="103">
        <v>1247</v>
      </c>
      <c r="E28" s="103" t="s">
        <v>191</v>
      </c>
      <c r="F28" s="103" t="s">
        <v>187</v>
      </c>
      <c r="G28" s="103" t="s">
        <v>197</v>
      </c>
      <c r="H28" s="104">
        <v>4.7048689353642441</v>
      </c>
      <c r="I28" s="304">
        <v>0.52430555555555558</v>
      </c>
      <c r="J28" s="304">
        <v>0.59034722222222225</v>
      </c>
      <c r="K28" s="305">
        <f t="shared" si="2"/>
        <v>1.585</v>
      </c>
      <c r="L28" s="305">
        <f>B18/K28</f>
        <v>4.4164037854889591</v>
      </c>
      <c r="M28" s="305">
        <f t="shared" si="3"/>
        <v>0.93868795202624433</v>
      </c>
      <c r="N28" s="306">
        <v>3</v>
      </c>
      <c r="O28" s="307">
        <v>6</v>
      </c>
      <c r="P28" s="308">
        <v>9</v>
      </c>
      <c r="Q28" s="309">
        <v>0.81949364087307286</v>
      </c>
    </row>
    <row r="29" spans="1:17" x14ac:dyDescent="0.25">
      <c r="A29" s="103">
        <v>10</v>
      </c>
      <c r="B29" s="298" t="s">
        <v>167</v>
      </c>
      <c r="C29" s="299"/>
      <c r="D29" s="103">
        <v>1059</v>
      </c>
      <c r="E29" s="103" t="s">
        <v>193</v>
      </c>
      <c r="F29" s="103" t="s">
        <v>187</v>
      </c>
      <c r="G29" s="103" t="s">
        <v>198</v>
      </c>
      <c r="H29" s="104">
        <v>4.5393600072583373</v>
      </c>
      <c r="I29" s="304">
        <v>0.52430555555555558</v>
      </c>
      <c r="J29" s="304">
        <v>0.59173611111111113</v>
      </c>
      <c r="K29" s="305">
        <f t="shared" si="2"/>
        <v>1.6183333333333332</v>
      </c>
      <c r="L29" s="305">
        <f>B18/K29</f>
        <v>4.3254376930998975</v>
      </c>
      <c r="M29" s="305">
        <f t="shared" si="3"/>
        <v>0.9528739042912695</v>
      </c>
      <c r="N29" s="306">
        <v>2</v>
      </c>
      <c r="O29" s="307">
        <v>9</v>
      </c>
      <c r="P29" s="308">
        <v>10</v>
      </c>
      <c r="Q29" s="309">
        <v>0.77498075508748798</v>
      </c>
    </row>
    <row r="30" spans="1:17" x14ac:dyDescent="0.25">
      <c r="A30" s="103">
        <v>11</v>
      </c>
      <c r="B30" s="298" t="s">
        <v>195</v>
      </c>
      <c r="C30" s="299"/>
      <c r="D30" s="103">
        <v>2107</v>
      </c>
      <c r="E30" s="103" t="s">
        <v>196</v>
      </c>
      <c r="F30" s="103" t="s">
        <v>187</v>
      </c>
      <c r="G30" s="103" t="s">
        <v>198</v>
      </c>
      <c r="H30" s="104">
        <v>4.5732393405527691</v>
      </c>
      <c r="I30" s="304">
        <v>0.52430555555555558</v>
      </c>
      <c r="J30" s="304">
        <v>0.59499999999999997</v>
      </c>
      <c r="K30" s="305">
        <f t="shared" si="2"/>
        <v>1.6966666666666654</v>
      </c>
      <c r="L30" s="305">
        <f>B18/K30</f>
        <v>4.1257367387033428</v>
      </c>
      <c r="M30" s="305">
        <f t="shared" si="3"/>
        <v>0.90214756575689381</v>
      </c>
      <c r="N30" s="306">
        <v>5</v>
      </c>
      <c r="O30" s="307">
        <v>10</v>
      </c>
      <c r="P30" s="308">
        <v>11</v>
      </c>
      <c r="Q30" s="309">
        <v>0.59604429704867534</v>
      </c>
    </row>
    <row r="32" spans="1:17" x14ac:dyDescent="0.25">
      <c r="A32" t="s">
        <v>177</v>
      </c>
      <c r="B32" s="106">
        <v>7</v>
      </c>
      <c r="C32" s="105"/>
      <c r="D32" t="s">
        <v>205</v>
      </c>
    </row>
    <row r="33" spans="1:17" x14ac:dyDescent="0.25">
      <c r="A33" s="101" t="s">
        <v>171</v>
      </c>
      <c r="B33" s="302" t="s">
        <v>172</v>
      </c>
      <c r="C33" s="302"/>
      <c r="D33" s="111" t="s">
        <v>173</v>
      </c>
      <c r="E33" s="111" t="s">
        <v>175</v>
      </c>
      <c r="F33" s="111" t="s">
        <v>176</v>
      </c>
      <c r="G33" s="111" t="s">
        <v>6</v>
      </c>
      <c r="H33" s="111" t="s">
        <v>174</v>
      </c>
      <c r="I33" s="303" t="s">
        <v>178</v>
      </c>
      <c r="J33" s="303" t="s">
        <v>179</v>
      </c>
      <c r="K33" s="303" t="s">
        <v>180</v>
      </c>
      <c r="L33" s="303" t="s">
        <v>181</v>
      </c>
      <c r="M33" s="303" t="s">
        <v>182</v>
      </c>
      <c r="N33" s="303" t="s">
        <v>183</v>
      </c>
      <c r="O33" s="303" t="s">
        <v>215</v>
      </c>
    </row>
    <row r="34" spans="1:17" x14ac:dyDescent="0.25">
      <c r="A34" s="103">
        <v>1</v>
      </c>
      <c r="B34" s="298" t="s">
        <v>165</v>
      </c>
      <c r="C34" s="299"/>
      <c r="D34" s="103">
        <v>211</v>
      </c>
      <c r="E34" s="103" t="s">
        <v>184</v>
      </c>
      <c r="F34" s="103" t="s">
        <v>185</v>
      </c>
      <c r="G34" s="103" t="s">
        <v>213</v>
      </c>
      <c r="H34" s="104">
        <v>6.0508316655399064</v>
      </c>
      <c r="I34" s="304">
        <v>0.625</v>
      </c>
      <c r="J34" s="304">
        <v>0.67934027777777783</v>
      </c>
      <c r="K34" s="305">
        <f t="shared" ref="K34:K44" si="4">(J34-I34)*24</f>
        <v>1.304166666666668</v>
      </c>
      <c r="L34" s="305">
        <f>B32/K34</f>
        <v>5.3674121405750741</v>
      </c>
      <c r="M34" s="305">
        <f t="shared" ref="M34:M44" si="5">L34/H34</f>
        <v>0.88705362126383802</v>
      </c>
      <c r="N34" s="306">
        <v>10</v>
      </c>
      <c r="O34" s="307">
        <v>1</v>
      </c>
      <c r="P34" s="308">
        <v>1</v>
      </c>
      <c r="Q34" s="309">
        <v>1.0234616143467872</v>
      </c>
    </row>
    <row r="35" spans="1:17" x14ac:dyDescent="0.25">
      <c r="A35" s="103">
        <v>2</v>
      </c>
      <c r="B35" s="298" t="s">
        <v>118</v>
      </c>
      <c r="C35" s="299"/>
      <c r="D35" s="103">
        <v>555</v>
      </c>
      <c r="E35" s="103" t="s">
        <v>134</v>
      </c>
      <c r="F35" s="103" t="s">
        <v>186</v>
      </c>
      <c r="G35" s="103" t="s">
        <v>208</v>
      </c>
      <c r="H35" s="104">
        <v>5.6610265490156477</v>
      </c>
      <c r="I35" s="304">
        <v>0.625</v>
      </c>
      <c r="J35" s="304">
        <v>0.68100694444444443</v>
      </c>
      <c r="K35" s="305">
        <f t="shared" si="4"/>
        <v>1.3441666666666663</v>
      </c>
      <c r="L35" s="305">
        <f>B32/K35</f>
        <v>5.2076875387476766</v>
      </c>
      <c r="M35" s="305">
        <f t="shared" si="5"/>
        <v>0.91991929266842976</v>
      </c>
      <c r="N35" s="306">
        <v>8</v>
      </c>
      <c r="O35" s="307">
        <v>3</v>
      </c>
      <c r="P35" s="308">
        <v>2</v>
      </c>
      <c r="Q35" s="309">
        <v>1.0229304157731587</v>
      </c>
    </row>
    <row r="36" spans="1:17" x14ac:dyDescent="0.25">
      <c r="A36" s="103">
        <v>3</v>
      </c>
      <c r="B36" s="298" t="s">
        <v>124</v>
      </c>
      <c r="C36" s="299"/>
      <c r="D36" s="103">
        <v>215</v>
      </c>
      <c r="E36" s="103" t="s">
        <v>125</v>
      </c>
      <c r="F36" s="103" t="s">
        <v>187</v>
      </c>
      <c r="G36" s="103" t="s">
        <v>208</v>
      </c>
      <c r="H36" s="104">
        <v>5.6364133947095141</v>
      </c>
      <c r="I36" s="304">
        <v>0.625</v>
      </c>
      <c r="J36" s="304">
        <v>0.71394675925925932</v>
      </c>
      <c r="K36" s="305">
        <f t="shared" si="4"/>
        <v>2.1347222222222237</v>
      </c>
      <c r="L36" s="305">
        <f>B32/K36</f>
        <v>3.2791151594014289</v>
      </c>
      <c r="M36" s="305">
        <f t="shared" si="5"/>
        <v>0.58177336007314384</v>
      </c>
      <c r="N36" s="306">
        <v>11</v>
      </c>
      <c r="O36" s="307">
        <v>11</v>
      </c>
      <c r="P36" s="308">
        <v>3</v>
      </c>
      <c r="Q36" s="309">
        <v>1.0186674504111355</v>
      </c>
    </row>
    <row r="37" spans="1:17" x14ac:dyDescent="0.25">
      <c r="A37" s="103">
        <v>4</v>
      </c>
      <c r="B37" s="298" t="s">
        <v>162</v>
      </c>
      <c r="C37" s="299"/>
      <c r="D37" s="103">
        <v>1435</v>
      </c>
      <c r="E37" s="103" t="s">
        <v>137</v>
      </c>
      <c r="F37" s="103" t="s">
        <v>187</v>
      </c>
      <c r="G37" s="103" t="s">
        <v>214</v>
      </c>
      <c r="H37" s="104">
        <v>5.2232147304664256</v>
      </c>
      <c r="I37" s="304">
        <v>0.625</v>
      </c>
      <c r="J37" s="304">
        <v>0.68508101851851855</v>
      </c>
      <c r="K37" s="305">
        <f t="shared" si="4"/>
        <v>1.4419444444444451</v>
      </c>
      <c r="L37" s="305">
        <f>B32/K37</f>
        <v>4.8545559622423404</v>
      </c>
      <c r="M37" s="305">
        <f t="shared" si="5"/>
        <v>0.92941918200801898</v>
      </c>
      <c r="N37" s="306">
        <v>7</v>
      </c>
      <c r="O37" s="307">
        <v>5</v>
      </c>
      <c r="P37" s="308">
        <v>4</v>
      </c>
      <c r="Q37" s="309">
        <v>1.0112298918678091</v>
      </c>
    </row>
    <row r="38" spans="1:17" x14ac:dyDescent="0.25">
      <c r="A38" s="103">
        <v>5</v>
      </c>
      <c r="B38" s="298" t="s">
        <v>136</v>
      </c>
      <c r="C38" s="299"/>
      <c r="D38" s="103">
        <v>581</v>
      </c>
      <c r="E38" s="103" t="s">
        <v>137</v>
      </c>
      <c r="F38" s="103" t="s">
        <v>190</v>
      </c>
      <c r="G38" s="103" t="s">
        <v>214</v>
      </c>
      <c r="H38" s="104">
        <v>5.2006728935257129</v>
      </c>
      <c r="I38" s="304">
        <v>0.625</v>
      </c>
      <c r="J38" s="304">
        <v>0.68077546296296287</v>
      </c>
      <c r="K38" s="305">
        <f t="shared" si="4"/>
        <v>1.338611111111109</v>
      </c>
      <c r="L38" s="305">
        <f>B32/K38</f>
        <v>5.2293006847893837</v>
      </c>
      <c r="M38" s="305">
        <f t="shared" si="5"/>
        <v>1.0055046321600631</v>
      </c>
      <c r="N38" s="306">
        <v>6</v>
      </c>
      <c r="O38" s="307">
        <v>2</v>
      </c>
      <c r="P38" s="308">
        <v>5</v>
      </c>
      <c r="Q38" s="309">
        <v>1.0092556464347064</v>
      </c>
    </row>
    <row r="39" spans="1:17" x14ac:dyDescent="0.25">
      <c r="A39" s="103">
        <v>6</v>
      </c>
      <c r="B39" s="300" t="s">
        <v>194</v>
      </c>
      <c r="C39" s="301"/>
      <c r="D39" s="103">
        <v>169</v>
      </c>
      <c r="E39" s="103" t="s">
        <v>134</v>
      </c>
      <c r="F39" s="103" t="s">
        <v>188</v>
      </c>
      <c r="G39" s="103" t="s">
        <v>208</v>
      </c>
      <c r="H39" s="104">
        <v>5.6610265490156477</v>
      </c>
      <c r="I39" s="304">
        <v>0.625</v>
      </c>
      <c r="J39" s="304">
        <v>0.68280092592592589</v>
      </c>
      <c r="K39" s="305">
        <f t="shared" si="4"/>
        <v>1.3872222222222215</v>
      </c>
      <c r="L39" s="305">
        <f>B32/K39</f>
        <v>5.0460552663195859</v>
      </c>
      <c r="M39" s="305">
        <f t="shared" si="5"/>
        <v>0.89136753248348666</v>
      </c>
      <c r="N39" s="306">
        <v>9</v>
      </c>
      <c r="O39" s="307">
        <v>4</v>
      </c>
      <c r="P39" s="308">
        <v>6</v>
      </c>
      <c r="Q39" s="309">
        <v>1.0055046321600631</v>
      </c>
    </row>
    <row r="40" spans="1:17" x14ac:dyDescent="0.25">
      <c r="A40" s="103">
        <v>7</v>
      </c>
      <c r="B40" s="298" t="s">
        <v>152</v>
      </c>
      <c r="C40" s="299"/>
      <c r="D40" s="103">
        <v>1138</v>
      </c>
      <c r="E40" s="103" t="s">
        <v>191</v>
      </c>
      <c r="F40" s="103" t="s">
        <v>189</v>
      </c>
      <c r="G40" s="103" t="s">
        <v>197</v>
      </c>
      <c r="H40" s="104">
        <v>4.7442327037989909</v>
      </c>
      <c r="I40" s="304">
        <v>0.625</v>
      </c>
      <c r="J40" s="304">
        <v>0.6859143518518519</v>
      </c>
      <c r="K40" s="305">
        <f t="shared" si="4"/>
        <v>1.4619444444444456</v>
      </c>
      <c r="L40" s="305">
        <f>B32/K40</f>
        <v>4.7881436443093257</v>
      </c>
      <c r="M40" s="305">
        <f t="shared" si="5"/>
        <v>1.0092556464347064</v>
      </c>
      <c r="N40" s="306">
        <v>5</v>
      </c>
      <c r="O40" s="307">
        <v>8</v>
      </c>
      <c r="P40" s="308">
        <v>7</v>
      </c>
      <c r="Q40" s="309">
        <v>0.92941918200801898</v>
      </c>
    </row>
    <row r="41" spans="1:17" x14ac:dyDescent="0.25">
      <c r="A41" s="103">
        <v>8</v>
      </c>
      <c r="B41" s="298" t="s">
        <v>144</v>
      </c>
      <c r="C41" s="299"/>
      <c r="D41" s="103">
        <v>1069</v>
      </c>
      <c r="E41" s="103" t="s">
        <v>192</v>
      </c>
      <c r="F41" s="103" t="s">
        <v>187</v>
      </c>
      <c r="G41" s="103" t="s">
        <v>197</v>
      </c>
      <c r="H41" s="104">
        <v>4.7566614653026491</v>
      </c>
      <c r="I41" s="304">
        <v>0.625</v>
      </c>
      <c r="J41" s="304">
        <v>0.68563657407407408</v>
      </c>
      <c r="K41" s="305">
        <f t="shared" si="4"/>
        <v>1.4552777777777779</v>
      </c>
      <c r="L41" s="305">
        <f>B32/K41</f>
        <v>4.8100782592097726</v>
      </c>
      <c r="M41" s="305">
        <f t="shared" si="5"/>
        <v>1.0112298918678091</v>
      </c>
      <c r="N41" s="306">
        <v>4</v>
      </c>
      <c r="O41" s="307">
        <v>6</v>
      </c>
      <c r="P41" s="308">
        <v>8</v>
      </c>
      <c r="Q41" s="309">
        <v>0.91991929266842976</v>
      </c>
    </row>
    <row r="42" spans="1:17" x14ac:dyDescent="0.25">
      <c r="A42" s="103">
        <v>9</v>
      </c>
      <c r="B42" s="298" t="s">
        <v>158</v>
      </c>
      <c r="C42" s="299"/>
      <c r="D42" s="103">
        <v>1247</v>
      </c>
      <c r="E42" s="103" t="s">
        <v>191</v>
      </c>
      <c r="F42" s="103" t="s">
        <v>187</v>
      </c>
      <c r="G42" s="103" t="s">
        <v>197</v>
      </c>
      <c r="H42" s="104">
        <v>4.7048689353642441</v>
      </c>
      <c r="I42" s="304">
        <v>0.625</v>
      </c>
      <c r="J42" s="304">
        <v>0.68585648148148148</v>
      </c>
      <c r="K42" s="305">
        <f t="shared" si="4"/>
        <v>1.4605555555555556</v>
      </c>
      <c r="L42" s="305">
        <f>B32/K42</f>
        <v>4.7926968429060475</v>
      </c>
      <c r="M42" s="305">
        <f t="shared" si="5"/>
        <v>1.0186674504111355</v>
      </c>
      <c r="N42" s="306">
        <v>3</v>
      </c>
      <c r="O42" s="307">
        <v>7</v>
      </c>
      <c r="P42" s="308">
        <v>9</v>
      </c>
      <c r="Q42" s="309">
        <v>0.89136753248348666</v>
      </c>
    </row>
    <row r="43" spans="1:17" x14ac:dyDescent="0.25">
      <c r="A43" s="103">
        <v>10</v>
      </c>
      <c r="B43" s="298" t="s">
        <v>167</v>
      </c>
      <c r="C43" s="299"/>
      <c r="D43" s="103">
        <v>1059</v>
      </c>
      <c r="E43" s="103" t="s">
        <v>193</v>
      </c>
      <c r="F43" s="103" t="s">
        <v>187</v>
      </c>
      <c r="G43" s="103" t="s">
        <v>198</v>
      </c>
      <c r="H43" s="104">
        <v>4.5393600072583373</v>
      </c>
      <c r="I43" s="304">
        <v>0.625</v>
      </c>
      <c r="J43" s="304">
        <v>0.68781250000000005</v>
      </c>
      <c r="K43" s="305">
        <f t="shared" si="4"/>
        <v>1.5075000000000012</v>
      </c>
      <c r="L43" s="305">
        <f>B32/K43</f>
        <v>4.6434494195688192</v>
      </c>
      <c r="M43" s="305">
        <f t="shared" si="5"/>
        <v>1.0229304157731587</v>
      </c>
      <c r="N43" s="306">
        <v>2</v>
      </c>
      <c r="O43" s="307">
        <v>10</v>
      </c>
      <c r="P43" s="308">
        <v>10</v>
      </c>
      <c r="Q43" s="309">
        <v>0.88705362126383802</v>
      </c>
    </row>
    <row r="44" spans="1:17" x14ac:dyDescent="0.25">
      <c r="A44" s="103">
        <v>11</v>
      </c>
      <c r="B44" s="298" t="s">
        <v>195</v>
      </c>
      <c r="C44" s="299"/>
      <c r="D44" s="103">
        <v>2107</v>
      </c>
      <c r="E44" s="103" t="s">
        <v>196</v>
      </c>
      <c r="F44" s="103" t="s">
        <v>187</v>
      </c>
      <c r="G44" s="103" t="s">
        <v>198</v>
      </c>
      <c r="H44" s="104">
        <v>4.5732393405527691</v>
      </c>
      <c r="I44" s="304">
        <v>0.625</v>
      </c>
      <c r="J44" s="304">
        <v>0.68731481481481482</v>
      </c>
      <c r="K44" s="305">
        <f t="shared" si="4"/>
        <v>1.4955555555555557</v>
      </c>
      <c r="L44" s="305">
        <f>B32/K44</f>
        <v>4.6805349182763738</v>
      </c>
      <c r="M44" s="305">
        <f t="shared" si="5"/>
        <v>1.0234616143467872</v>
      </c>
      <c r="N44" s="306">
        <v>1</v>
      </c>
      <c r="O44" s="307">
        <v>9</v>
      </c>
      <c r="P44" s="308">
        <v>11</v>
      </c>
      <c r="Q44" s="309">
        <v>0.58177336007314384</v>
      </c>
    </row>
    <row r="46" spans="1:17" x14ac:dyDescent="0.25">
      <c r="A46" t="s">
        <v>177</v>
      </c>
      <c r="B46" s="106">
        <v>7</v>
      </c>
      <c r="C46" s="105"/>
      <c r="D46" t="s">
        <v>206</v>
      </c>
    </row>
    <row r="47" spans="1:17" x14ac:dyDescent="0.25">
      <c r="A47" s="101" t="s">
        <v>171</v>
      </c>
      <c r="B47" s="302" t="s">
        <v>172</v>
      </c>
      <c r="C47" s="302"/>
      <c r="D47" s="111" t="s">
        <v>173</v>
      </c>
      <c r="E47" s="111" t="s">
        <v>175</v>
      </c>
      <c r="F47" s="111" t="s">
        <v>176</v>
      </c>
      <c r="G47" s="111" t="s">
        <v>6</v>
      </c>
      <c r="H47" s="111" t="s">
        <v>174</v>
      </c>
      <c r="I47" s="303" t="s">
        <v>178</v>
      </c>
      <c r="J47" s="303" t="s">
        <v>179</v>
      </c>
      <c r="K47" s="303" t="s">
        <v>180</v>
      </c>
      <c r="L47" s="303" t="s">
        <v>181</v>
      </c>
      <c r="M47" s="303" t="s">
        <v>182</v>
      </c>
      <c r="N47" s="303" t="s">
        <v>183</v>
      </c>
      <c r="O47" s="303" t="s">
        <v>215</v>
      </c>
    </row>
    <row r="48" spans="1:17" x14ac:dyDescent="0.25">
      <c r="A48" s="103">
        <v>1</v>
      </c>
      <c r="B48" s="298" t="s">
        <v>165</v>
      </c>
      <c r="C48" s="299"/>
      <c r="D48" s="103">
        <v>211</v>
      </c>
      <c r="E48" s="103" t="s">
        <v>184</v>
      </c>
      <c r="F48" s="103" t="s">
        <v>185</v>
      </c>
      <c r="G48" s="103" t="s">
        <v>213</v>
      </c>
      <c r="H48" s="104">
        <v>6.0508316655399064</v>
      </c>
      <c r="I48" s="304">
        <v>0.51736111111111105</v>
      </c>
      <c r="J48" s="304">
        <v>0.57709490740740743</v>
      </c>
      <c r="K48" s="305">
        <f t="shared" ref="K48:K58" si="6">(J48-I48)*24</f>
        <v>1.4336111111111132</v>
      </c>
      <c r="L48" s="305">
        <f>B46/K48</f>
        <v>4.882774656074397</v>
      </c>
      <c r="M48" s="305">
        <f t="shared" ref="M48:M58" si="7">L48/H48</f>
        <v>0.80695926212627744</v>
      </c>
      <c r="N48" s="306">
        <v>2</v>
      </c>
      <c r="O48" s="307">
        <v>1</v>
      </c>
      <c r="P48" s="308">
        <v>1</v>
      </c>
      <c r="Q48" s="309">
        <v>0.8755302269865225</v>
      </c>
    </row>
    <row r="49" spans="1:17" x14ac:dyDescent="0.25">
      <c r="A49" s="103">
        <v>2</v>
      </c>
      <c r="B49" s="298" t="s">
        <v>118</v>
      </c>
      <c r="C49" s="299"/>
      <c r="D49" s="103">
        <v>555</v>
      </c>
      <c r="E49" s="103" t="s">
        <v>134</v>
      </c>
      <c r="F49" s="103" t="s">
        <v>186</v>
      </c>
      <c r="G49" s="103" t="s">
        <v>208</v>
      </c>
      <c r="H49" s="104">
        <v>5.6610265490156477</v>
      </c>
      <c r="I49" s="304">
        <v>0.51736111111111105</v>
      </c>
      <c r="J49" s="304">
        <v>0.58839120370370368</v>
      </c>
      <c r="K49" s="305">
        <f t="shared" si="6"/>
        <v>1.7047222222222231</v>
      </c>
      <c r="L49" s="305">
        <f>B46/K49</f>
        <v>4.1062408342838497</v>
      </c>
      <c r="M49" s="305">
        <f t="shared" si="7"/>
        <v>0.72535268978695255</v>
      </c>
      <c r="N49" s="306">
        <v>6</v>
      </c>
      <c r="O49" s="307">
        <v>3</v>
      </c>
      <c r="P49" s="308">
        <v>2</v>
      </c>
      <c r="Q49" s="309">
        <v>0.80695926212627744</v>
      </c>
    </row>
    <row r="50" spans="1:17" x14ac:dyDescent="0.25">
      <c r="A50" s="103">
        <v>3</v>
      </c>
      <c r="B50" s="298" t="s">
        <v>124</v>
      </c>
      <c r="C50" s="299"/>
      <c r="D50" s="103">
        <v>215</v>
      </c>
      <c r="E50" s="103" t="s">
        <v>125</v>
      </c>
      <c r="F50" s="103" t="s">
        <v>187</v>
      </c>
      <c r="G50" s="103" t="s">
        <v>208</v>
      </c>
      <c r="H50" s="104">
        <v>5.6364133947095141</v>
      </c>
      <c r="I50" s="304">
        <v>0.51736111111111105</v>
      </c>
      <c r="J50" s="304">
        <v>0.62782407407407403</v>
      </c>
      <c r="K50" s="305">
        <f t="shared" si="6"/>
        <v>2.6511111111111116</v>
      </c>
      <c r="L50" s="305">
        <f>B46/K50</f>
        <v>2.6404023470243079</v>
      </c>
      <c r="M50" s="305">
        <f t="shared" si="7"/>
        <v>0.46845434536484831</v>
      </c>
      <c r="N50" s="306">
        <v>11</v>
      </c>
      <c r="O50" s="307">
        <v>11</v>
      </c>
      <c r="P50" s="308">
        <v>3</v>
      </c>
      <c r="Q50" s="309">
        <v>0.79244761862135549</v>
      </c>
    </row>
    <row r="51" spans="1:17" x14ac:dyDescent="0.25">
      <c r="A51" s="103">
        <v>4</v>
      </c>
      <c r="B51" s="298" t="s">
        <v>162</v>
      </c>
      <c r="C51" s="299"/>
      <c r="D51" s="103">
        <v>1435</v>
      </c>
      <c r="E51" s="103" t="s">
        <v>137</v>
      </c>
      <c r="F51" s="103" t="s">
        <v>187</v>
      </c>
      <c r="G51" s="103" t="s">
        <v>214</v>
      </c>
      <c r="H51" s="104">
        <v>5.2232147304664256</v>
      </c>
      <c r="I51" s="304">
        <v>0.51736111111111105</v>
      </c>
      <c r="J51" s="304">
        <v>0.59523148148148153</v>
      </c>
      <c r="K51" s="305">
        <f t="shared" si="6"/>
        <v>1.8688888888888915</v>
      </c>
      <c r="L51" s="305">
        <f>B46/K51</f>
        <v>3.7455410225921471</v>
      </c>
      <c r="M51" s="305">
        <f t="shared" si="7"/>
        <v>0.71709497232515185</v>
      </c>
      <c r="N51" s="306">
        <v>8</v>
      </c>
      <c r="O51" s="307">
        <v>5</v>
      </c>
      <c r="P51" s="308">
        <v>4</v>
      </c>
      <c r="Q51" s="309">
        <v>0.75990164051299924</v>
      </c>
    </row>
    <row r="52" spans="1:17" x14ac:dyDescent="0.25">
      <c r="A52" s="103">
        <v>5</v>
      </c>
      <c r="B52" s="298" t="s">
        <v>136</v>
      </c>
      <c r="C52" s="299"/>
      <c r="D52" s="103">
        <v>581</v>
      </c>
      <c r="E52" s="103" t="s">
        <v>137</v>
      </c>
      <c r="F52" s="103" t="s">
        <v>190</v>
      </c>
      <c r="G52" s="103" t="s">
        <v>214</v>
      </c>
      <c r="H52" s="104">
        <v>5.2006728935257129</v>
      </c>
      <c r="I52" s="304">
        <v>0.51736111111111105</v>
      </c>
      <c r="J52" s="304">
        <v>0.59537037037037044</v>
      </c>
      <c r="K52" s="305">
        <f t="shared" si="6"/>
        <v>1.8722222222222253</v>
      </c>
      <c r="L52" s="305">
        <f>B46/K52</f>
        <v>3.7388724035608245</v>
      </c>
      <c r="M52" s="305">
        <f t="shared" si="7"/>
        <v>0.7189208935280903</v>
      </c>
      <c r="N52" s="306">
        <v>7</v>
      </c>
      <c r="O52" s="307">
        <v>6</v>
      </c>
      <c r="P52" s="308">
        <v>5</v>
      </c>
      <c r="Q52" s="309">
        <v>0.74837937411966571</v>
      </c>
    </row>
    <row r="53" spans="1:17" x14ac:dyDescent="0.25">
      <c r="A53" s="103">
        <v>6</v>
      </c>
      <c r="B53" s="300" t="s">
        <v>194</v>
      </c>
      <c r="C53" s="301"/>
      <c r="D53" s="103">
        <v>169</v>
      </c>
      <c r="E53" s="103" t="s">
        <v>134</v>
      </c>
      <c r="F53" s="103" t="s">
        <v>188</v>
      </c>
      <c r="G53" s="103" t="s">
        <v>208</v>
      </c>
      <c r="H53" s="104">
        <v>5.6610265490156477</v>
      </c>
      <c r="I53" s="304">
        <v>0.51736111111111105</v>
      </c>
      <c r="J53" s="304">
        <v>0.59214120370370371</v>
      </c>
      <c r="K53" s="305">
        <f t="shared" si="6"/>
        <v>1.7947222222222239</v>
      </c>
      <c r="L53" s="305">
        <f>B46/K53</f>
        <v>3.9003250270855867</v>
      </c>
      <c r="M53" s="305">
        <f t="shared" si="7"/>
        <v>0.68897840229415352</v>
      </c>
      <c r="N53" s="306">
        <v>10</v>
      </c>
      <c r="O53" s="307">
        <v>4</v>
      </c>
      <c r="P53" s="308">
        <v>6</v>
      </c>
      <c r="Q53" s="309">
        <v>0.72535268978695255</v>
      </c>
    </row>
    <row r="54" spans="1:17" x14ac:dyDescent="0.25">
      <c r="A54" s="103">
        <v>7</v>
      </c>
      <c r="B54" s="298" t="s">
        <v>152</v>
      </c>
      <c r="C54" s="299"/>
      <c r="D54" s="103">
        <v>1138</v>
      </c>
      <c r="E54" s="103" t="s">
        <v>191</v>
      </c>
      <c r="F54" s="103" t="s">
        <v>187</v>
      </c>
      <c r="G54" s="103" t="s">
        <v>197</v>
      </c>
      <c r="H54" s="104">
        <v>4.7442327037989909</v>
      </c>
      <c r="I54" s="304">
        <v>0.51736111111111105</v>
      </c>
      <c r="J54" s="304">
        <v>0.59826388888888882</v>
      </c>
      <c r="K54" s="305">
        <f t="shared" si="6"/>
        <v>1.9416666666666664</v>
      </c>
      <c r="L54" s="305">
        <f>B46/K54</f>
        <v>3.6051502145922751</v>
      </c>
      <c r="M54" s="305">
        <f t="shared" si="7"/>
        <v>0.75990164051299924</v>
      </c>
      <c r="N54" s="306">
        <v>4</v>
      </c>
      <c r="O54" s="307">
        <v>8</v>
      </c>
      <c r="P54" s="308">
        <v>7</v>
      </c>
      <c r="Q54" s="309">
        <v>0.7189208935280903</v>
      </c>
    </row>
    <row r="55" spans="1:17" x14ac:dyDescent="0.25">
      <c r="A55" s="103">
        <v>8</v>
      </c>
      <c r="B55" s="298" t="s">
        <v>144</v>
      </c>
      <c r="C55" s="299"/>
      <c r="D55" s="103">
        <v>1069</v>
      </c>
      <c r="E55" s="103" t="s">
        <v>192</v>
      </c>
      <c r="F55" s="103" t="s">
        <v>187</v>
      </c>
      <c r="G55" s="103" t="s">
        <v>197</v>
      </c>
      <c r="H55" s="104">
        <v>4.7566614653026491</v>
      </c>
      <c r="I55" s="304">
        <v>0.51736111111111105</v>
      </c>
      <c r="J55" s="304">
        <v>0.58739583333333334</v>
      </c>
      <c r="K55" s="305">
        <f t="shared" si="6"/>
        <v>1.680833333333335</v>
      </c>
      <c r="L55" s="305">
        <f>B46/K55</f>
        <v>4.1646008924144731</v>
      </c>
      <c r="M55" s="305">
        <f t="shared" si="7"/>
        <v>0.8755302269865225</v>
      </c>
      <c r="N55" s="306">
        <v>1</v>
      </c>
      <c r="O55" s="307">
        <v>2</v>
      </c>
      <c r="P55" s="308">
        <v>8</v>
      </c>
      <c r="Q55" s="309">
        <v>0.71709497232515185</v>
      </c>
    </row>
    <row r="56" spans="1:17" x14ac:dyDescent="0.25">
      <c r="A56" s="103">
        <v>9</v>
      </c>
      <c r="B56" s="298" t="s">
        <v>158</v>
      </c>
      <c r="C56" s="299"/>
      <c r="D56" s="103">
        <v>1247</v>
      </c>
      <c r="E56" s="103" t="s">
        <v>191</v>
      </c>
      <c r="F56" s="103" t="s">
        <v>187</v>
      </c>
      <c r="G56" s="103" t="s">
        <v>197</v>
      </c>
      <c r="H56" s="104">
        <v>4.7048689353642441</v>
      </c>
      <c r="I56" s="304">
        <v>0.51736111111111105</v>
      </c>
      <c r="J56" s="304">
        <v>0.59559027777777784</v>
      </c>
      <c r="K56" s="305">
        <f t="shared" si="6"/>
        <v>1.8775000000000031</v>
      </c>
      <c r="L56" s="305">
        <f>B46/K56</f>
        <v>3.7283621837549874</v>
      </c>
      <c r="M56" s="305">
        <f t="shared" si="7"/>
        <v>0.79244761862135549</v>
      </c>
      <c r="N56" s="306">
        <v>3</v>
      </c>
      <c r="O56" s="307">
        <v>7</v>
      </c>
      <c r="P56" s="308">
        <v>9</v>
      </c>
      <c r="Q56" s="309">
        <v>0.70076285867217025</v>
      </c>
    </row>
    <row r="57" spans="1:17" x14ac:dyDescent="0.25">
      <c r="A57" s="103">
        <v>10</v>
      </c>
      <c r="B57" s="298" t="s">
        <v>167</v>
      </c>
      <c r="C57" s="299"/>
      <c r="D57" s="103">
        <v>1059</v>
      </c>
      <c r="E57" s="103" t="s">
        <v>193</v>
      </c>
      <c r="F57" s="103" t="s">
        <v>187</v>
      </c>
      <c r="G57" s="103" t="s">
        <v>198</v>
      </c>
      <c r="H57" s="104">
        <v>4.5393600072583373</v>
      </c>
      <c r="I57" s="304">
        <v>0.51736111111111105</v>
      </c>
      <c r="J57" s="304">
        <v>0.60905092592592591</v>
      </c>
      <c r="K57" s="305">
        <f t="shared" si="6"/>
        <v>2.2005555555555567</v>
      </c>
      <c r="L57" s="305">
        <f>B46/K57</f>
        <v>3.181014895228476</v>
      </c>
      <c r="M57" s="305">
        <f t="shared" si="7"/>
        <v>0.70076285867217025</v>
      </c>
      <c r="N57" s="306">
        <v>9</v>
      </c>
      <c r="O57" s="307">
        <v>10</v>
      </c>
      <c r="P57" s="308">
        <v>10</v>
      </c>
      <c r="Q57" s="309">
        <v>0.68897840229415352</v>
      </c>
    </row>
    <row r="58" spans="1:17" x14ac:dyDescent="0.25">
      <c r="A58" s="103">
        <v>11</v>
      </c>
      <c r="B58" s="298" t="s">
        <v>195</v>
      </c>
      <c r="C58" s="299"/>
      <c r="D58" s="103">
        <v>2107</v>
      </c>
      <c r="E58" s="103" t="s">
        <v>196</v>
      </c>
      <c r="F58" s="103" t="s">
        <v>187</v>
      </c>
      <c r="G58" s="103" t="s">
        <v>198</v>
      </c>
      <c r="H58" s="104">
        <v>4.5732393405527691</v>
      </c>
      <c r="I58" s="304">
        <v>0.51736111111111105</v>
      </c>
      <c r="J58" s="304">
        <v>0.60258101851851853</v>
      </c>
      <c r="K58" s="305">
        <f t="shared" si="6"/>
        <v>2.0452777777777795</v>
      </c>
      <c r="L58" s="305">
        <f>B46/K58</f>
        <v>3.4225179953823139</v>
      </c>
      <c r="M58" s="305">
        <f t="shared" si="7"/>
        <v>0.74837937411966571</v>
      </c>
      <c r="N58" s="306">
        <v>5</v>
      </c>
      <c r="O58" s="307">
        <v>9</v>
      </c>
      <c r="P58" s="308">
        <v>11</v>
      </c>
      <c r="Q58" s="309">
        <v>0.46845434536484831</v>
      </c>
    </row>
    <row r="60" spans="1:17" x14ac:dyDescent="0.25">
      <c r="A60" t="s">
        <v>177</v>
      </c>
      <c r="B60" s="106">
        <v>3</v>
      </c>
      <c r="C60" s="105"/>
      <c r="D60" t="s">
        <v>207</v>
      </c>
    </row>
    <row r="61" spans="1:17" x14ac:dyDescent="0.25">
      <c r="A61" s="101" t="s">
        <v>171</v>
      </c>
      <c r="B61" s="302" t="s">
        <v>172</v>
      </c>
      <c r="C61" s="302"/>
      <c r="D61" s="111" t="s">
        <v>173</v>
      </c>
      <c r="E61" s="111" t="s">
        <v>175</v>
      </c>
      <c r="F61" s="111" t="s">
        <v>176</v>
      </c>
      <c r="G61" s="111" t="s">
        <v>6</v>
      </c>
      <c r="H61" s="111" t="s">
        <v>174</v>
      </c>
      <c r="I61" s="303" t="s">
        <v>178</v>
      </c>
      <c r="J61" s="303" t="s">
        <v>179</v>
      </c>
      <c r="K61" s="303" t="s">
        <v>180</v>
      </c>
      <c r="L61" s="303" t="s">
        <v>181</v>
      </c>
      <c r="M61" s="303" t="s">
        <v>182</v>
      </c>
      <c r="N61" s="303" t="s">
        <v>183</v>
      </c>
      <c r="O61" s="303" t="s">
        <v>215</v>
      </c>
    </row>
    <row r="62" spans="1:17" x14ac:dyDescent="0.25">
      <c r="A62" s="103">
        <v>1</v>
      </c>
      <c r="B62" s="298" t="s">
        <v>165</v>
      </c>
      <c r="C62" s="299"/>
      <c r="D62" s="103">
        <v>211</v>
      </c>
      <c r="E62" s="103" t="s">
        <v>184</v>
      </c>
      <c r="F62" s="103" t="s">
        <v>185</v>
      </c>
      <c r="G62" s="103" t="s">
        <v>213</v>
      </c>
      <c r="H62" s="104">
        <v>6.0508316655399064</v>
      </c>
      <c r="I62" s="304">
        <v>0.61805555555555558</v>
      </c>
      <c r="J62" s="304">
        <v>0.65506944444444437</v>
      </c>
      <c r="K62" s="305">
        <f t="shared" ref="K62:K72" si="8">(J62-I62)*24</f>
        <v>0.88833333333333098</v>
      </c>
      <c r="L62" s="305">
        <f>B60/K62</f>
        <v>3.377110694183874</v>
      </c>
      <c r="M62" s="305">
        <f t="shared" ref="M62:M72" si="9">L62/H62</f>
        <v>0.55812339209779349</v>
      </c>
      <c r="N62" s="306">
        <v>8</v>
      </c>
      <c r="O62" s="307">
        <v>1</v>
      </c>
      <c r="P62" s="308">
        <v>1</v>
      </c>
      <c r="Q62" s="309">
        <v>0.62701293022145532</v>
      </c>
    </row>
    <row r="63" spans="1:17" x14ac:dyDescent="0.25">
      <c r="A63" s="103">
        <v>2</v>
      </c>
      <c r="B63" s="298" t="s">
        <v>118</v>
      </c>
      <c r="C63" s="299"/>
      <c r="D63" s="103">
        <v>555</v>
      </c>
      <c r="E63" s="103" t="s">
        <v>134</v>
      </c>
      <c r="F63" s="103" t="s">
        <v>186</v>
      </c>
      <c r="G63" s="103" t="s">
        <v>208</v>
      </c>
      <c r="H63" s="104">
        <v>5.6610265490156477</v>
      </c>
      <c r="I63" s="304">
        <v>0.61805555555555558</v>
      </c>
      <c r="J63" s="304">
        <v>0.65747685185185178</v>
      </c>
      <c r="K63" s="305">
        <f t="shared" si="8"/>
        <v>0.9461111111111089</v>
      </c>
      <c r="L63" s="305">
        <f>B60/K63</f>
        <v>3.170874926600125</v>
      </c>
      <c r="M63" s="305">
        <f t="shared" si="9"/>
        <v>0.56012366293379845</v>
      </c>
      <c r="N63" s="306">
        <v>7</v>
      </c>
      <c r="O63" s="307">
        <v>2</v>
      </c>
      <c r="P63" s="308">
        <v>2</v>
      </c>
      <c r="Q63" s="309">
        <v>0.60705285339267001</v>
      </c>
    </row>
    <row r="64" spans="1:17" x14ac:dyDescent="0.25">
      <c r="A64" s="103">
        <v>3</v>
      </c>
      <c r="B64" s="298" t="s">
        <v>124</v>
      </c>
      <c r="C64" s="299"/>
      <c r="D64" s="103">
        <v>215</v>
      </c>
      <c r="E64" s="103" t="s">
        <v>125</v>
      </c>
      <c r="F64" s="103" t="s">
        <v>187</v>
      </c>
      <c r="G64" s="103" t="s">
        <v>208</v>
      </c>
      <c r="H64" s="104">
        <v>5.6364133947095141</v>
      </c>
      <c r="I64" s="304">
        <v>0.61805555555555558</v>
      </c>
      <c r="J64" s="304">
        <v>0.68501157407407398</v>
      </c>
      <c r="K64" s="305">
        <f t="shared" si="8"/>
        <v>1.6069444444444416</v>
      </c>
      <c r="L64" s="305">
        <f>B60/K64</f>
        <v>1.8668971477960274</v>
      </c>
      <c r="M64" s="305">
        <f t="shared" si="9"/>
        <v>0.33122076346428853</v>
      </c>
      <c r="N64" s="306">
        <v>11</v>
      </c>
      <c r="O64" s="307">
        <v>11</v>
      </c>
      <c r="P64" s="308">
        <v>3</v>
      </c>
      <c r="Q64" s="309">
        <v>0.60192879781109909</v>
      </c>
    </row>
    <row r="65" spans="1:20" x14ac:dyDescent="0.25">
      <c r="A65" s="103">
        <v>4</v>
      </c>
      <c r="B65" s="298" t="s">
        <v>162</v>
      </c>
      <c r="C65" s="299"/>
      <c r="D65" s="103">
        <v>1435</v>
      </c>
      <c r="E65" s="103" t="s">
        <v>137</v>
      </c>
      <c r="F65" s="103" t="s">
        <v>187</v>
      </c>
      <c r="G65" s="103" t="s">
        <v>214</v>
      </c>
      <c r="H65" s="104">
        <v>5.2232147304664256</v>
      </c>
      <c r="I65" s="304">
        <v>0.61805555555555558</v>
      </c>
      <c r="J65" s="304">
        <v>0.65922453703703698</v>
      </c>
      <c r="K65" s="305">
        <f t="shared" si="8"/>
        <v>0.98805555555555369</v>
      </c>
      <c r="L65" s="305">
        <f>B60/K65</f>
        <v>3.0362665167275851</v>
      </c>
      <c r="M65" s="305">
        <f t="shared" si="9"/>
        <v>0.5813022579786703</v>
      </c>
      <c r="N65" s="306">
        <v>5</v>
      </c>
      <c r="O65" s="307">
        <v>4</v>
      </c>
      <c r="P65" s="308">
        <v>4</v>
      </c>
      <c r="Q65" s="309">
        <v>0.58943406803465237</v>
      </c>
    </row>
    <row r="66" spans="1:20" x14ac:dyDescent="0.25">
      <c r="A66" s="103">
        <v>5</v>
      </c>
      <c r="B66" s="298" t="s">
        <v>136</v>
      </c>
      <c r="C66" s="299"/>
      <c r="D66" s="103">
        <v>581</v>
      </c>
      <c r="E66" s="103" t="s">
        <v>137</v>
      </c>
      <c r="F66" s="103" t="s">
        <v>190</v>
      </c>
      <c r="G66" s="103" t="s">
        <v>214</v>
      </c>
      <c r="H66" s="104">
        <v>5.2006728935257129</v>
      </c>
      <c r="I66" s="304">
        <v>0.61805555555555558</v>
      </c>
      <c r="J66" s="304">
        <v>0.65798611111111105</v>
      </c>
      <c r="K66" s="305">
        <f t="shared" si="8"/>
        <v>0.95833333333333126</v>
      </c>
      <c r="L66" s="305">
        <f>B60/K66</f>
        <v>3.1304347826087024</v>
      </c>
      <c r="M66" s="305">
        <f t="shared" si="9"/>
        <v>0.60192879781109909</v>
      </c>
      <c r="N66" s="306">
        <v>3</v>
      </c>
      <c r="O66" s="307">
        <v>3</v>
      </c>
      <c r="P66" s="308">
        <v>5</v>
      </c>
      <c r="Q66" s="309">
        <v>0.5813022579786703</v>
      </c>
    </row>
    <row r="67" spans="1:20" x14ac:dyDescent="0.25">
      <c r="A67" s="103">
        <v>6</v>
      </c>
      <c r="B67" s="300" t="s">
        <v>194</v>
      </c>
      <c r="C67" s="301"/>
      <c r="D67" s="103">
        <v>169</v>
      </c>
      <c r="E67" s="103" t="s">
        <v>134</v>
      </c>
      <c r="F67" s="103" t="s">
        <v>188</v>
      </c>
      <c r="G67" s="103" t="s">
        <v>208</v>
      </c>
      <c r="H67" s="104">
        <v>5.6610265490156477</v>
      </c>
      <c r="I67" s="304">
        <v>0.61805555555555558</v>
      </c>
      <c r="J67" s="304">
        <v>0.66240740740740744</v>
      </c>
      <c r="K67" s="305">
        <f t="shared" si="8"/>
        <v>1.0644444444444447</v>
      </c>
      <c r="L67" s="305">
        <f>B60/K67</f>
        <v>2.8183716075156569</v>
      </c>
      <c r="M67" s="305">
        <f t="shared" si="9"/>
        <v>0.49785521815044692</v>
      </c>
      <c r="N67" s="306">
        <v>10</v>
      </c>
      <c r="O67" s="307">
        <v>7</v>
      </c>
      <c r="P67" s="308">
        <v>6</v>
      </c>
      <c r="Q67" s="309">
        <v>0.57859679332972602</v>
      </c>
    </row>
    <row r="68" spans="1:20" x14ac:dyDescent="0.25">
      <c r="A68" s="103">
        <v>7</v>
      </c>
      <c r="B68" s="298" t="s">
        <v>152</v>
      </c>
      <c r="C68" s="299"/>
      <c r="D68" s="103">
        <v>1138</v>
      </c>
      <c r="E68" s="103" t="s">
        <v>191</v>
      </c>
      <c r="F68" s="103" t="s">
        <v>187</v>
      </c>
      <c r="G68" s="103" t="s">
        <v>197</v>
      </c>
      <c r="H68" s="104">
        <v>4.7442327037989909</v>
      </c>
      <c r="I68" s="304">
        <v>0.61805555555555558</v>
      </c>
      <c r="J68" s="304">
        <v>0.66145833333333337</v>
      </c>
      <c r="K68" s="305">
        <f t="shared" si="8"/>
        <v>1.041666666666667</v>
      </c>
      <c r="L68" s="305">
        <f>B60/K68</f>
        <v>2.879999999999999</v>
      </c>
      <c r="M68" s="305">
        <f t="shared" si="9"/>
        <v>0.60705285339267001</v>
      </c>
      <c r="N68" s="306">
        <v>2</v>
      </c>
      <c r="O68" s="307">
        <v>6</v>
      </c>
      <c r="P68" s="308">
        <v>7</v>
      </c>
      <c r="Q68" s="309">
        <v>0.56012366293379845</v>
      </c>
    </row>
    <row r="69" spans="1:20" x14ac:dyDescent="0.25">
      <c r="A69" s="103">
        <v>8</v>
      </c>
      <c r="B69" s="298" t="s">
        <v>144</v>
      </c>
      <c r="C69" s="299"/>
      <c r="D69" s="103">
        <v>1069</v>
      </c>
      <c r="E69" s="103" t="s">
        <v>192</v>
      </c>
      <c r="F69" s="103" t="s">
        <v>187</v>
      </c>
      <c r="G69" s="103" t="s">
        <v>197</v>
      </c>
      <c r="H69" s="104">
        <v>4.7566614653026491</v>
      </c>
      <c r="I69" s="304">
        <v>0.61805555555555558</v>
      </c>
      <c r="J69" s="304">
        <v>0.66263888888888889</v>
      </c>
      <c r="K69" s="305">
        <f t="shared" si="8"/>
        <v>1.0699999999999994</v>
      </c>
      <c r="L69" s="305">
        <f>B60/K69</f>
        <v>2.803738317757011</v>
      </c>
      <c r="M69" s="305">
        <f t="shared" si="9"/>
        <v>0.58943406803465237</v>
      </c>
      <c r="N69" s="306">
        <v>4</v>
      </c>
      <c r="O69" s="307">
        <v>8</v>
      </c>
      <c r="P69" s="308">
        <v>8</v>
      </c>
      <c r="Q69" s="309">
        <v>0.55812339209779349</v>
      </c>
    </row>
    <row r="70" spans="1:20" x14ac:dyDescent="0.25">
      <c r="A70" s="103">
        <v>9</v>
      </c>
      <c r="B70" s="298" t="s">
        <v>158</v>
      </c>
      <c r="C70" s="299"/>
      <c r="D70" s="103">
        <v>1247</v>
      </c>
      <c r="E70" s="103" t="s">
        <v>191</v>
      </c>
      <c r="F70" s="103" t="s">
        <v>187</v>
      </c>
      <c r="G70" s="103" t="s">
        <v>197</v>
      </c>
      <c r="H70" s="104">
        <v>4.7048689353642441</v>
      </c>
      <c r="I70" s="304">
        <v>0.61805555555555558</v>
      </c>
      <c r="J70" s="304">
        <v>0.6604282407407408</v>
      </c>
      <c r="K70" s="305">
        <f t="shared" si="8"/>
        <v>1.0169444444444453</v>
      </c>
      <c r="L70" s="305">
        <f>B60/K70</f>
        <v>2.9500136574706337</v>
      </c>
      <c r="M70" s="305">
        <f t="shared" si="9"/>
        <v>0.62701293022145532</v>
      </c>
      <c r="N70" s="306">
        <v>1</v>
      </c>
      <c r="O70" s="307">
        <v>5</v>
      </c>
      <c r="P70" s="308">
        <v>9</v>
      </c>
      <c r="Q70" s="309">
        <v>0.55073800622765612</v>
      </c>
    </row>
    <row r="71" spans="1:20" x14ac:dyDescent="0.25">
      <c r="A71" s="103">
        <v>10</v>
      </c>
      <c r="B71" s="298" t="s">
        <v>167</v>
      </c>
      <c r="C71" s="299"/>
      <c r="D71" s="103">
        <v>1059</v>
      </c>
      <c r="E71" s="103" t="s">
        <v>193</v>
      </c>
      <c r="F71" s="103" t="s">
        <v>187</v>
      </c>
      <c r="G71" s="103" t="s">
        <v>198</v>
      </c>
      <c r="H71" s="104">
        <v>4.5393600072583373</v>
      </c>
      <c r="I71" s="304">
        <v>0.61805555555555558</v>
      </c>
      <c r="J71" s="304">
        <v>0.6656481481481481</v>
      </c>
      <c r="K71" s="305">
        <f t="shared" si="8"/>
        <v>1.1422222222222205</v>
      </c>
      <c r="L71" s="305">
        <f>B60/K71</f>
        <v>2.6264591439688756</v>
      </c>
      <c r="M71" s="305">
        <f t="shared" si="9"/>
        <v>0.57859679332972602</v>
      </c>
      <c r="N71" s="306">
        <v>6</v>
      </c>
      <c r="O71" s="307">
        <v>9</v>
      </c>
      <c r="P71" s="308">
        <v>10</v>
      </c>
      <c r="Q71" s="309">
        <v>0.49785521815044692</v>
      </c>
    </row>
    <row r="72" spans="1:20" x14ac:dyDescent="0.25">
      <c r="A72" s="103">
        <v>11</v>
      </c>
      <c r="B72" s="298" t="s">
        <v>195</v>
      </c>
      <c r="C72" s="299"/>
      <c r="D72" s="103">
        <v>2107</v>
      </c>
      <c r="E72" s="103" t="s">
        <v>196</v>
      </c>
      <c r="F72" s="103" t="s">
        <v>187</v>
      </c>
      <c r="G72" s="103" t="s">
        <v>198</v>
      </c>
      <c r="H72" s="104">
        <v>4.5732393405527691</v>
      </c>
      <c r="I72" s="304">
        <v>0.61805555555555558</v>
      </c>
      <c r="J72" s="304">
        <v>0.66768518518518516</v>
      </c>
      <c r="K72" s="305">
        <f t="shared" si="8"/>
        <v>1.1911111111111099</v>
      </c>
      <c r="L72" s="305">
        <f>B60/K72</f>
        <v>2.518656716417913</v>
      </c>
      <c r="M72" s="305">
        <f t="shared" si="9"/>
        <v>0.55073800622765612</v>
      </c>
      <c r="N72" s="306">
        <v>9</v>
      </c>
      <c r="O72" s="307">
        <v>10</v>
      </c>
      <c r="P72" s="308">
        <v>11</v>
      </c>
      <c r="Q72" s="309">
        <v>0.33122076346428853</v>
      </c>
    </row>
    <row r="74" spans="1:20" ht="22.5" hidden="1" customHeight="1" x14ac:dyDescent="0.25">
      <c r="I74" s="311" t="s">
        <v>203</v>
      </c>
      <c r="J74" s="311"/>
      <c r="K74" s="311" t="s">
        <v>204</v>
      </c>
      <c r="L74" s="311"/>
      <c r="M74" s="311" t="s">
        <v>205</v>
      </c>
      <c r="N74" s="311"/>
      <c r="O74" s="311" t="s">
        <v>206</v>
      </c>
      <c r="P74" s="311"/>
      <c r="Q74" s="311" t="s">
        <v>207</v>
      </c>
      <c r="R74" s="311"/>
      <c r="S74" s="308" t="s">
        <v>209</v>
      </c>
      <c r="T74" s="308" t="s">
        <v>210</v>
      </c>
    </row>
    <row r="75" spans="1:20" hidden="1" x14ac:dyDescent="0.25">
      <c r="A75" s="101" t="s">
        <v>171</v>
      </c>
      <c r="B75" s="302" t="s">
        <v>172</v>
      </c>
      <c r="C75" s="302"/>
      <c r="D75" s="111" t="s">
        <v>173</v>
      </c>
      <c r="E75" s="112" t="s">
        <v>175</v>
      </c>
      <c r="F75" s="112" t="s">
        <v>176</v>
      </c>
      <c r="G75" s="112" t="s">
        <v>6</v>
      </c>
      <c r="H75" s="122" t="s">
        <v>174</v>
      </c>
      <c r="I75" s="307" t="s">
        <v>210</v>
      </c>
      <c r="J75" s="312" t="s">
        <v>209</v>
      </c>
      <c r="K75" s="307" t="s">
        <v>210</v>
      </c>
      <c r="L75" s="312" t="s">
        <v>209</v>
      </c>
      <c r="M75" s="307" t="s">
        <v>210</v>
      </c>
      <c r="N75" s="312" t="s">
        <v>209</v>
      </c>
      <c r="O75" s="307" t="s">
        <v>210</v>
      </c>
      <c r="P75" s="312" t="s">
        <v>209</v>
      </c>
      <c r="Q75" s="307" t="s">
        <v>210</v>
      </c>
      <c r="R75" s="312" t="s">
        <v>209</v>
      </c>
      <c r="S75" s="307" t="s">
        <v>211</v>
      </c>
      <c r="T75" s="308"/>
    </row>
    <row r="76" spans="1:20" hidden="1" x14ac:dyDescent="0.25">
      <c r="A76" s="103">
        <v>1</v>
      </c>
      <c r="B76" s="298" t="s">
        <v>165</v>
      </c>
      <c r="C76" s="299"/>
      <c r="D76" s="103">
        <v>211</v>
      </c>
      <c r="E76" s="103" t="s">
        <v>184</v>
      </c>
      <c r="F76" s="103" t="s">
        <v>185</v>
      </c>
      <c r="G76" s="103" t="s">
        <v>213</v>
      </c>
      <c r="H76" s="310">
        <v>6.0508316655399064</v>
      </c>
      <c r="I76" s="306">
        <v>1</v>
      </c>
      <c r="J76" s="312">
        <v>1</v>
      </c>
      <c r="K76" s="313">
        <v>8</v>
      </c>
      <c r="L76" s="314">
        <v>8</v>
      </c>
      <c r="M76" s="306">
        <v>10</v>
      </c>
      <c r="N76" s="314">
        <v>10</v>
      </c>
      <c r="O76" s="306">
        <v>2</v>
      </c>
      <c r="P76" s="314">
        <v>2</v>
      </c>
      <c r="Q76" s="306">
        <v>8</v>
      </c>
      <c r="R76" s="314">
        <v>8</v>
      </c>
      <c r="S76" s="312">
        <f>R76+P76+N76+L76+J76</f>
        <v>29</v>
      </c>
      <c r="T76" s="314">
        <v>6</v>
      </c>
    </row>
    <row r="77" spans="1:20" hidden="1" x14ac:dyDescent="0.25">
      <c r="A77" s="103">
        <v>2</v>
      </c>
      <c r="B77" s="298" t="s">
        <v>118</v>
      </c>
      <c r="C77" s="299"/>
      <c r="D77" s="103">
        <v>555</v>
      </c>
      <c r="E77" s="103" t="s">
        <v>134</v>
      </c>
      <c r="F77" s="103" t="s">
        <v>186</v>
      </c>
      <c r="G77" s="103" t="s">
        <v>208</v>
      </c>
      <c r="H77" s="310">
        <v>5.6610265490156477</v>
      </c>
      <c r="I77" s="306">
        <v>7</v>
      </c>
      <c r="J77" s="312">
        <v>7</v>
      </c>
      <c r="K77" s="313">
        <v>10</v>
      </c>
      <c r="L77" s="314">
        <v>10</v>
      </c>
      <c r="M77" s="306">
        <v>8</v>
      </c>
      <c r="N77" s="314">
        <v>8</v>
      </c>
      <c r="O77" s="306">
        <v>6</v>
      </c>
      <c r="P77" s="314">
        <v>6</v>
      </c>
      <c r="Q77" s="306">
        <v>7</v>
      </c>
      <c r="R77" s="314">
        <v>7</v>
      </c>
      <c r="S77" s="312">
        <f t="shared" ref="S77:S86" si="10">R77+P77+N77+L77+J77</f>
        <v>38</v>
      </c>
      <c r="T77" s="314">
        <v>9</v>
      </c>
    </row>
    <row r="78" spans="1:20" hidden="1" x14ac:dyDescent="0.25">
      <c r="A78" s="103">
        <v>3</v>
      </c>
      <c r="B78" s="298" t="s">
        <v>124</v>
      </c>
      <c r="C78" s="299"/>
      <c r="D78" s="103">
        <v>215</v>
      </c>
      <c r="E78" s="103" t="s">
        <v>125</v>
      </c>
      <c r="F78" s="103" t="s">
        <v>187</v>
      </c>
      <c r="G78" s="103" t="s">
        <v>208</v>
      </c>
      <c r="H78" s="310">
        <v>5.6364133947095141</v>
      </c>
      <c r="I78" s="306">
        <v>10</v>
      </c>
      <c r="J78" s="312">
        <v>10</v>
      </c>
      <c r="K78" s="313">
        <v>11</v>
      </c>
      <c r="L78" s="314">
        <v>11</v>
      </c>
      <c r="M78" s="306">
        <v>11</v>
      </c>
      <c r="N78" s="314">
        <v>11</v>
      </c>
      <c r="O78" s="306">
        <v>11</v>
      </c>
      <c r="P78" s="314">
        <v>11</v>
      </c>
      <c r="Q78" s="306">
        <v>11</v>
      </c>
      <c r="R78" s="314">
        <v>11</v>
      </c>
      <c r="S78" s="312">
        <f t="shared" si="10"/>
        <v>54</v>
      </c>
      <c r="T78" s="314">
        <v>11</v>
      </c>
    </row>
    <row r="79" spans="1:20" hidden="1" x14ac:dyDescent="0.25">
      <c r="A79" s="103">
        <v>4</v>
      </c>
      <c r="B79" s="298" t="s">
        <v>162</v>
      </c>
      <c r="C79" s="299"/>
      <c r="D79" s="103">
        <v>1435</v>
      </c>
      <c r="E79" s="103" t="s">
        <v>137</v>
      </c>
      <c r="F79" s="103" t="s">
        <v>187</v>
      </c>
      <c r="G79" s="103" t="s">
        <v>214</v>
      </c>
      <c r="H79" s="310">
        <v>5.2232147304664256</v>
      </c>
      <c r="I79" s="306">
        <v>8</v>
      </c>
      <c r="J79" s="312">
        <v>8</v>
      </c>
      <c r="K79" s="313">
        <v>7</v>
      </c>
      <c r="L79" s="314">
        <v>7</v>
      </c>
      <c r="M79" s="306">
        <v>7</v>
      </c>
      <c r="N79" s="314">
        <v>7</v>
      </c>
      <c r="O79" s="306">
        <v>8</v>
      </c>
      <c r="P79" s="314">
        <v>8</v>
      </c>
      <c r="Q79" s="306">
        <v>5</v>
      </c>
      <c r="R79" s="314">
        <v>5</v>
      </c>
      <c r="S79" s="312">
        <f t="shared" si="10"/>
        <v>35</v>
      </c>
      <c r="T79" s="314">
        <v>8</v>
      </c>
    </row>
    <row r="80" spans="1:20" hidden="1" x14ac:dyDescent="0.25">
      <c r="A80" s="103">
        <v>5</v>
      </c>
      <c r="B80" s="298" t="s">
        <v>136</v>
      </c>
      <c r="C80" s="299"/>
      <c r="D80" s="103">
        <v>581</v>
      </c>
      <c r="E80" s="103" t="s">
        <v>137</v>
      </c>
      <c r="F80" s="103" t="s">
        <v>190</v>
      </c>
      <c r="G80" s="103" t="s">
        <v>214</v>
      </c>
      <c r="H80" s="310">
        <v>5.2006728935257129</v>
      </c>
      <c r="I80" s="306">
        <v>6</v>
      </c>
      <c r="J80" s="312">
        <v>6</v>
      </c>
      <c r="K80" s="313">
        <v>6</v>
      </c>
      <c r="L80" s="314">
        <v>6</v>
      </c>
      <c r="M80" s="306">
        <v>6</v>
      </c>
      <c r="N80" s="314">
        <v>6</v>
      </c>
      <c r="O80" s="306">
        <v>7</v>
      </c>
      <c r="P80" s="314">
        <v>7</v>
      </c>
      <c r="Q80" s="306">
        <v>3</v>
      </c>
      <c r="R80" s="314">
        <v>3</v>
      </c>
      <c r="S80" s="312">
        <f t="shared" si="10"/>
        <v>28</v>
      </c>
      <c r="T80" s="314">
        <v>5</v>
      </c>
    </row>
    <row r="81" spans="1:20" hidden="1" x14ac:dyDescent="0.25">
      <c r="A81" s="103">
        <v>6</v>
      </c>
      <c r="B81" s="300" t="s">
        <v>194</v>
      </c>
      <c r="C81" s="301"/>
      <c r="D81" s="103">
        <v>169</v>
      </c>
      <c r="E81" s="103" t="s">
        <v>134</v>
      </c>
      <c r="F81" s="103" t="s">
        <v>188</v>
      </c>
      <c r="G81" s="103" t="s">
        <v>208</v>
      </c>
      <c r="H81" s="310">
        <v>5.6610265490156477</v>
      </c>
      <c r="I81" s="306">
        <v>9</v>
      </c>
      <c r="J81" s="312">
        <v>9</v>
      </c>
      <c r="K81" s="313">
        <v>9</v>
      </c>
      <c r="L81" s="314">
        <v>9</v>
      </c>
      <c r="M81" s="306">
        <v>9</v>
      </c>
      <c r="N81" s="314">
        <v>9</v>
      </c>
      <c r="O81" s="306">
        <v>10</v>
      </c>
      <c r="P81" s="314">
        <v>10</v>
      </c>
      <c r="Q81" s="306">
        <v>10</v>
      </c>
      <c r="R81" s="314">
        <v>10</v>
      </c>
      <c r="S81" s="312">
        <f t="shared" si="10"/>
        <v>47</v>
      </c>
      <c r="T81" s="314">
        <v>10</v>
      </c>
    </row>
    <row r="82" spans="1:20" hidden="1" x14ac:dyDescent="0.25">
      <c r="A82" s="103">
        <v>7</v>
      </c>
      <c r="B82" s="298" t="s">
        <v>152</v>
      </c>
      <c r="C82" s="299"/>
      <c r="D82" s="103">
        <v>1138</v>
      </c>
      <c r="E82" s="103" t="s">
        <v>191</v>
      </c>
      <c r="F82" s="103" t="s">
        <v>187</v>
      </c>
      <c r="G82" s="103" t="s">
        <v>197</v>
      </c>
      <c r="H82" s="310">
        <v>4.7442327037989909</v>
      </c>
      <c r="I82" s="306">
        <v>4</v>
      </c>
      <c r="J82" s="312">
        <v>4</v>
      </c>
      <c r="K82" s="313">
        <v>4</v>
      </c>
      <c r="L82" s="314">
        <v>4</v>
      </c>
      <c r="M82" s="306">
        <v>5</v>
      </c>
      <c r="N82" s="314">
        <v>5</v>
      </c>
      <c r="O82" s="306">
        <v>4</v>
      </c>
      <c r="P82" s="314">
        <v>4</v>
      </c>
      <c r="Q82" s="306">
        <v>2</v>
      </c>
      <c r="R82" s="314">
        <v>2</v>
      </c>
      <c r="S82" s="312">
        <f t="shared" si="10"/>
        <v>19</v>
      </c>
      <c r="T82" s="314">
        <v>3</v>
      </c>
    </row>
    <row r="83" spans="1:20" hidden="1" x14ac:dyDescent="0.25">
      <c r="A83" s="103">
        <v>8</v>
      </c>
      <c r="B83" s="298" t="s">
        <v>144</v>
      </c>
      <c r="C83" s="299"/>
      <c r="D83" s="103">
        <v>1069</v>
      </c>
      <c r="E83" s="103" t="s">
        <v>192</v>
      </c>
      <c r="F83" s="103" t="s">
        <v>187</v>
      </c>
      <c r="G83" s="103" t="s">
        <v>197</v>
      </c>
      <c r="H83" s="310">
        <v>4.7566614653026491</v>
      </c>
      <c r="I83" s="306">
        <v>3</v>
      </c>
      <c r="J83" s="312">
        <v>3</v>
      </c>
      <c r="K83" s="313">
        <v>1</v>
      </c>
      <c r="L83" s="314">
        <v>1</v>
      </c>
      <c r="M83" s="306">
        <v>4</v>
      </c>
      <c r="N83" s="314">
        <v>4</v>
      </c>
      <c r="O83" s="306">
        <v>1</v>
      </c>
      <c r="P83" s="314">
        <v>1</v>
      </c>
      <c r="Q83" s="306">
        <v>4</v>
      </c>
      <c r="R83" s="314">
        <v>4</v>
      </c>
      <c r="S83" s="312">
        <f t="shared" si="10"/>
        <v>13</v>
      </c>
      <c r="T83" s="314">
        <v>2</v>
      </c>
    </row>
    <row r="84" spans="1:20" hidden="1" x14ac:dyDescent="0.25">
      <c r="A84" s="103">
        <v>9</v>
      </c>
      <c r="B84" s="298" t="s">
        <v>158</v>
      </c>
      <c r="C84" s="299"/>
      <c r="D84" s="103">
        <v>1247</v>
      </c>
      <c r="E84" s="103" t="s">
        <v>191</v>
      </c>
      <c r="F84" s="103" t="s">
        <v>187</v>
      </c>
      <c r="G84" s="103" t="s">
        <v>197</v>
      </c>
      <c r="H84" s="310">
        <v>4.7048689353642441</v>
      </c>
      <c r="I84" s="306">
        <v>2</v>
      </c>
      <c r="J84" s="312">
        <v>2</v>
      </c>
      <c r="K84" s="313">
        <v>3</v>
      </c>
      <c r="L84" s="314">
        <v>3</v>
      </c>
      <c r="M84" s="306">
        <v>3</v>
      </c>
      <c r="N84" s="314">
        <v>3</v>
      </c>
      <c r="O84" s="306">
        <v>3</v>
      </c>
      <c r="P84" s="314">
        <v>3</v>
      </c>
      <c r="Q84" s="306">
        <v>1</v>
      </c>
      <c r="R84" s="314">
        <v>1</v>
      </c>
      <c r="S84" s="312">
        <f t="shared" si="10"/>
        <v>12</v>
      </c>
      <c r="T84" s="314">
        <v>1</v>
      </c>
    </row>
    <row r="85" spans="1:20" hidden="1" x14ac:dyDescent="0.25">
      <c r="A85" s="103">
        <v>10</v>
      </c>
      <c r="B85" s="298" t="s">
        <v>167</v>
      </c>
      <c r="C85" s="299"/>
      <c r="D85" s="103">
        <v>1059</v>
      </c>
      <c r="E85" s="103" t="s">
        <v>193</v>
      </c>
      <c r="F85" s="103" t="s">
        <v>187</v>
      </c>
      <c r="G85" s="103" t="s">
        <v>198</v>
      </c>
      <c r="H85" s="310">
        <v>4.5393600072583373</v>
      </c>
      <c r="I85" s="306">
        <v>5</v>
      </c>
      <c r="J85" s="312">
        <v>5</v>
      </c>
      <c r="K85" s="313">
        <v>2</v>
      </c>
      <c r="L85" s="314">
        <v>2</v>
      </c>
      <c r="M85" s="306">
        <v>2</v>
      </c>
      <c r="N85" s="314">
        <v>2</v>
      </c>
      <c r="O85" s="306">
        <v>9</v>
      </c>
      <c r="P85" s="314">
        <v>9</v>
      </c>
      <c r="Q85" s="306">
        <v>6</v>
      </c>
      <c r="R85" s="314">
        <v>6</v>
      </c>
      <c r="S85" s="312">
        <f t="shared" si="10"/>
        <v>24</v>
      </c>
      <c r="T85" s="314">
        <v>4</v>
      </c>
    </row>
    <row r="86" spans="1:20" hidden="1" x14ac:dyDescent="0.25">
      <c r="A86" s="103">
        <v>11</v>
      </c>
      <c r="B86" s="298" t="s">
        <v>195</v>
      </c>
      <c r="C86" s="299"/>
      <c r="D86" s="103">
        <v>2107</v>
      </c>
      <c r="E86" s="103" t="s">
        <v>196</v>
      </c>
      <c r="F86" s="103" t="s">
        <v>187</v>
      </c>
      <c r="G86" s="103" t="s">
        <v>198</v>
      </c>
      <c r="H86" s="310">
        <v>4.5732393405527691</v>
      </c>
      <c r="I86" s="304" t="s">
        <v>202</v>
      </c>
      <c r="J86" s="312">
        <v>12</v>
      </c>
      <c r="K86" s="313">
        <v>5</v>
      </c>
      <c r="L86" s="314">
        <v>5</v>
      </c>
      <c r="M86" s="306">
        <v>1</v>
      </c>
      <c r="N86" s="314">
        <v>1</v>
      </c>
      <c r="O86" s="306">
        <v>5</v>
      </c>
      <c r="P86" s="314">
        <v>5</v>
      </c>
      <c r="Q86" s="306">
        <v>9</v>
      </c>
      <c r="R86" s="314">
        <v>9</v>
      </c>
      <c r="S86" s="312">
        <f t="shared" si="10"/>
        <v>32</v>
      </c>
      <c r="T86" s="314">
        <v>7</v>
      </c>
    </row>
    <row r="87" spans="1:20" ht="15.75" thickBot="1" x14ac:dyDescent="0.3"/>
    <row r="88" spans="1:20" x14ac:dyDescent="0.25">
      <c r="I88" s="315" t="s">
        <v>203</v>
      </c>
      <c r="J88" s="316"/>
      <c r="K88" s="315" t="s">
        <v>204</v>
      </c>
      <c r="L88" s="316"/>
      <c r="M88" s="315" t="s">
        <v>205</v>
      </c>
      <c r="N88" s="316"/>
      <c r="O88" s="315" t="s">
        <v>206</v>
      </c>
      <c r="P88" s="316"/>
      <c r="Q88" s="315" t="s">
        <v>207</v>
      </c>
      <c r="R88" s="316"/>
      <c r="S88" s="327" t="s">
        <v>209</v>
      </c>
      <c r="T88" s="328" t="s">
        <v>210</v>
      </c>
    </row>
    <row r="89" spans="1:20" x14ac:dyDescent="0.25">
      <c r="A89" s="101" t="s">
        <v>171</v>
      </c>
      <c r="B89" s="302" t="s">
        <v>172</v>
      </c>
      <c r="C89" s="302"/>
      <c r="D89" s="112" t="s">
        <v>173</v>
      </c>
      <c r="E89" s="112" t="s">
        <v>175</v>
      </c>
      <c r="F89" s="112" t="s">
        <v>176</v>
      </c>
      <c r="G89" s="112" t="s">
        <v>6</v>
      </c>
      <c r="H89" s="122" t="s">
        <v>174</v>
      </c>
      <c r="I89" s="317" t="s">
        <v>210</v>
      </c>
      <c r="J89" s="318" t="s">
        <v>209</v>
      </c>
      <c r="K89" s="317" t="s">
        <v>210</v>
      </c>
      <c r="L89" s="318" t="s">
        <v>209</v>
      </c>
      <c r="M89" s="317" t="s">
        <v>210</v>
      </c>
      <c r="N89" s="318" t="s">
        <v>209</v>
      </c>
      <c r="O89" s="317" t="s">
        <v>210</v>
      </c>
      <c r="P89" s="318" t="s">
        <v>209</v>
      </c>
      <c r="Q89" s="317" t="s">
        <v>210</v>
      </c>
      <c r="R89" s="318" t="s">
        <v>209</v>
      </c>
      <c r="S89" s="317" t="s">
        <v>211</v>
      </c>
      <c r="T89" s="318" t="s">
        <v>212</v>
      </c>
    </row>
    <row r="90" spans="1:20" x14ac:dyDescent="0.25">
      <c r="A90" s="114">
        <v>1</v>
      </c>
      <c r="B90" s="298" t="s">
        <v>158</v>
      </c>
      <c r="C90" s="299"/>
      <c r="D90" s="103">
        <v>1247</v>
      </c>
      <c r="E90" s="103" t="s">
        <v>191</v>
      </c>
      <c r="F90" s="103" t="s">
        <v>187</v>
      </c>
      <c r="G90" s="103" t="s">
        <v>197</v>
      </c>
      <c r="H90" s="310">
        <v>4.7048689353642441</v>
      </c>
      <c r="I90" s="319">
        <v>2</v>
      </c>
      <c r="J90" s="318">
        <v>2</v>
      </c>
      <c r="K90" s="323">
        <v>3</v>
      </c>
      <c r="L90" s="324">
        <v>3</v>
      </c>
      <c r="M90" s="319">
        <v>3</v>
      </c>
      <c r="N90" s="324">
        <v>3</v>
      </c>
      <c r="O90" s="319">
        <v>3</v>
      </c>
      <c r="P90" s="324">
        <v>3</v>
      </c>
      <c r="Q90" s="319">
        <v>1</v>
      </c>
      <c r="R90" s="324">
        <v>1</v>
      </c>
      <c r="S90" s="329">
        <f t="shared" ref="S90:S94" si="11">R90+P90+N90+L90+J90</f>
        <v>12</v>
      </c>
      <c r="T90" s="324">
        <v>1</v>
      </c>
    </row>
    <row r="91" spans="1:20" x14ac:dyDescent="0.25">
      <c r="A91" s="114">
        <v>2</v>
      </c>
      <c r="B91" s="298" t="s">
        <v>144</v>
      </c>
      <c r="C91" s="299"/>
      <c r="D91" s="103">
        <v>1069</v>
      </c>
      <c r="E91" s="103" t="s">
        <v>192</v>
      </c>
      <c r="F91" s="103" t="s">
        <v>187</v>
      </c>
      <c r="G91" s="103" t="s">
        <v>197</v>
      </c>
      <c r="H91" s="310">
        <v>4.7566614653026491</v>
      </c>
      <c r="I91" s="319">
        <v>3</v>
      </c>
      <c r="J91" s="318">
        <v>3</v>
      </c>
      <c r="K91" s="323">
        <v>1</v>
      </c>
      <c r="L91" s="324">
        <v>1</v>
      </c>
      <c r="M91" s="319">
        <v>4</v>
      </c>
      <c r="N91" s="324">
        <v>4</v>
      </c>
      <c r="O91" s="319">
        <v>1</v>
      </c>
      <c r="P91" s="324">
        <v>1</v>
      </c>
      <c r="Q91" s="319">
        <v>4</v>
      </c>
      <c r="R91" s="324">
        <v>4</v>
      </c>
      <c r="S91" s="329">
        <f t="shared" si="11"/>
        <v>13</v>
      </c>
      <c r="T91" s="324">
        <v>2</v>
      </c>
    </row>
    <row r="92" spans="1:20" x14ac:dyDescent="0.25">
      <c r="A92" s="114">
        <v>3</v>
      </c>
      <c r="B92" s="298" t="s">
        <v>152</v>
      </c>
      <c r="C92" s="299"/>
      <c r="D92" s="103">
        <v>1138</v>
      </c>
      <c r="E92" s="103" t="s">
        <v>191</v>
      </c>
      <c r="F92" s="103" t="s">
        <v>187</v>
      </c>
      <c r="G92" s="103" t="s">
        <v>197</v>
      </c>
      <c r="H92" s="310">
        <v>4.7442327037989909</v>
      </c>
      <c r="I92" s="319">
        <v>4</v>
      </c>
      <c r="J92" s="318">
        <v>4</v>
      </c>
      <c r="K92" s="323">
        <v>4</v>
      </c>
      <c r="L92" s="324">
        <v>4</v>
      </c>
      <c r="M92" s="319">
        <v>5</v>
      </c>
      <c r="N92" s="324">
        <v>5</v>
      </c>
      <c r="O92" s="319">
        <v>4</v>
      </c>
      <c r="P92" s="324">
        <v>4</v>
      </c>
      <c r="Q92" s="319">
        <v>2</v>
      </c>
      <c r="R92" s="324">
        <v>2</v>
      </c>
      <c r="S92" s="329">
        <f t="shared" si="11"/>
        <v>19</v>
      </c>
      <c r="T92" s="324">
        <v>3</v>
      </c>
    </row>
    <row r="93" spans="1:20" x14ac:dyDescent="0.25">
      <c r="A93" s="114">
        <v>4</v>
      </c>
      <c r="B93" s="298" t="s">
        <v>167</v>
      </c>
      <c r="C93" s="299"/>
      <c r="D93" s="103">
        <v>1059</v>
      </c>
      <c r="E93" s="103" t="s">
        <v>193</v>
      </c>
      <c r="F93" s="103" t="s">
        <v>187</v>
      </c>
      <c r="G93" s="103" t="s">
        <v>198</v>
      </c>
      <c r="H93" s="310">
        <v>4.5393600072583373</v>
      </c>
      <c r="I93" s="319">
        <v>5</v>
      </c>
      <c r="J93" s="318">
        <v>5</v>
      </c>
      <c r="K93" s="323">
        <v>2</v>
      </c>
      <c r="L93" s="324">
        <v>2</v>
      </c>
      <c r="M93" s="319">
        <v>2</v>
      </c>
      <c r="N93" s="324">
        <v>2</v>
      </c>
      <c r="O93" s="319">
        <v>9</v>
      </c>
      <c r="P93" s="324">
        <v>9</v>
      </c>
      <c r="Q93" s="319">
        <v>6</v>
      </c>
      <c r="R93" s="324">
        <v>6</v>
      </c>
      <c r="S93" s="329">
        <f t="shared" si="11"/>
        <v>24</v>
      </c>
      <c r="T93" s="324">
        <v>4</v>
      </c>
    </row>
    <row r="94" spans="1:20" x14ac:dyDescent="0.25">
      <c r="A94" s="114">
        <v>5</v>
      </c>
      <c r="B94" s="298" t="s">
        <v>136</v>
      </c>
      <c r="C94" s="299"/>
      <c r="D94" s="103">
        <v>581</v>
      </c>
      <c r="E94" s="103" t="s">
        <v>137</v>
      </c>
      <c r="F94" s="103" t="s">
        <v>190</v>
      </c>
      <c r="G94" s="103" t="s">
        <v>214</v>
      </c>
      <c r="H94" s="310">
        <v>5.2006728935257129</v>
      </c>
      <c r="I94" s="319">
        <v>6</v>
      </c>
      <c r="J94" s="318">
        <v>6</v>
      </c>
      <c r="K94" s="323">
        <v>6</v>
      </c>
      <c r="L94" s="324">
        <v>6</v>
      </c>
      <c r="M94" s="319">
        <v>6</v>
      </c>
      <c r="N94" s="324">
        <v>6</v>
      </c>
      <c r="O94" s="319">
        <v>7</v>
      </c>
      <c r="P94" s="324">
        <v>7</v>
      </c>
      <c r="Q94" s="319">
        <v>3</v>
      </c>
      <c r="R94" s="324">
        <v>3</v>
      </c>
      <c r="S94" s="329">
        <f t="shared" si="11"/>
        <v>28</v>
      </c>
      <c r="T94" s="324">
        <v>5</v>
      </c>
    </row>
    <row r="95" spans="1:20" x14ac:dyDescent="0.25">
      <c r="A95" s="114">
        <v>6</v>
      </c>
      <c r="B95" s="298" t="s">
        <v>165</v>
      </c>
      <c r="C95" s="299"/>
      <c r="D95" s="103">
        <v>211</v>
      </c>
      <c r="E95" s="103" t="s">
        <v>184</v>
      </c>
      <c r="F95" s="103" t="s">
        <v>185</v>
      </c>
      <c r="G95" s="103" t="s">
        <v>213</v>
      </c>
      <c r="H95" s="310">
        <v>6.0508316655399064</v>
      </c>
      <c r="I95" s="319">
        <v>1</v>
      </c>
      <c r="J95" s="318">
        <v>1</v>
      </c>
      <c r="K95" s="323">
        <v>8</v>
      </c>
      <c r="L95" s="324">
        <v>8</v>
      </c>
      <c r="M95" s="319">
        <v>10</v>
      </c>
      <c r="N95" s="324">
        <v>10</v>
      </c>
      <c r="O95" s="319">
        <v>2</v>
      </c>
      <c r="P95" s="324">
        <v>2</v>
      </c>
      <c r="Q95" s="319">
        <v>8</v>
      </c>
      <c r="R95" s="324">
        <v>8</v>
      </c>
      <c r="S95" s="329">
        <f>R95+P95+N95+L95+J95</f>
        <v>29</v>
      </c>
      <c r="T95" s="324">
        <v>6</v>
      </c>
    </row>
    <row r="96" spans="1:20" x14ac:dyDescent="0.25">
      <c r="A96" s="114">
        <v>7</v>
      </c>
      <c r="B96" s="298" t="s">
        <v>195</v>
      </c>
      <c r="C96" s="299"/>
      <c r="D96" s="103">
        <v>2107</v>
      </c>
      <c r="E96" s="103" t="s">
        <v>196</v>
      </c>
      <c r="F96" s="103" t="s">
        <v>187</v>
      </c>
      <c r="G96" s="103" t="s">
        <v>198</v>
      </c>
      <c r="H96" s="310">
        <v>4.5732393405527691</v>
      </c>
      <c r="I96" s="320" t="s">
        <v>202</v>
      </c>
      <c r="J96" s="318">
        <v>12</v>
      </c>
      <c r="K96" s="323">
        <v>5</v>
      </c>
      <c r="L96" s="324">
        <v>5</v>
      </c>
      <c r="M96" s="319">
        <v>1</v>
      </c>
      <c r="N96" s="324">
        <v>1</v>
      </c>
      <c r="O96" s="319">
        <v>5</v>
      </c>
      <c r="P96" s="324">
        <v>5</v>
      </c>
      <c r="Q96" s="319">
        <v>9</v>
      </c>
      <c r="R96" s="324">
        <v>9</v>
      </c>
      <c r="S96" s="329">
        <f t="shared" ref="S96:S100" si="12">R96+P96+N96+L96+J96</f>
        <v>32</v>
      </c>
      <c r="T96" s="324">
        <v>7</v>
      </c>
    </row>
    <row r="97" spans="1:20" x14ac:dyDescent="0.25">
      <c r="A97" s="114">
        <v>8</v>
      </c>
      <c r="B97" s="298" t="s">
        <v>162</v>
      </c>
      <c r="C97" s="299"/>
      <c r="D97" s="103">
        <v>1435</v>
      </c>
      <c r="E97" s="103" t="s">
        <v>137</v>
      </c>
      <c r="F97" s="103" t="s">
        <v>187</v>
      </c>
      <c r="G97" s="103" t="s">
        <v>214</v>
      </c>
      <c r="H97" s="310">
        <v>5.2232147304664256</v>
      </c>
      <c r="I97" s="319">
        <v>8</v>
      </c>
      <c r="J97" s="318">
        <v>8</v>
      </c>
      <c r="K97" s="323">
        <v>7</v>
      </c>
      <c r="L97" s="324">
        <v>7</v>
      </c>
      <c r="M97" s="319">
        <v>7</v>
      </c>
      <c r="N97" s="324">
        <v>7</v>
      </c>
      <c r="O97" s="319">
        <v>8</v>
      </c>
      <c r="P97" s="324">
        <v>8</v>
      </c>
      <c r="Q97" s="319">
        <v>5</v>
      </c>
      <c r="R97" s="324">
        <v>5</v>
      </c>
      <c r="S97" s="329">
        <f t="shared" si="12"/>
        <v>35</v>
      </c>
      <c r="T97" s="324">
        <v>8</v>
      </c>
    </row>
    <row r="98" spans="1:20" x14ac:dyDescent="0.25">
      <c r="A98" s="114">
        <v>9</v>
      </c>
      <c r="B98" s="298" t="s">
        <v>118</v>
      </c>
      <c r="C98" s="299"/>
      <c r="D98" s="103">
        <v>555</v>
      </c>
      <c r="E98" s="103" t="s">
        <v>134</v>
      </c>
      <c r="F98" s="103" t="s">
        <v>186</v>
      </c>
      <c r="G98" s="103" t="s">
        <v>208</v>
      </c>
      <c r="H98" s="310">
        <v>5.6610265490156477</v>
      </c>
      <c r="I98" s="319">
        <v>7</v>
      </c>
      <c r="J98" s="318">
        <v>7</v>
      </c>
      <c r="K98" s="323">
        <v>10</v>
      </c>
      <c r="L98" s="324">
        <v>10</v>
      </c>
      <c r="M98" s="319">
        <v>8</v>
      </c>
      <c r="N98" s="324">
        <v>8</v>
      </c>
      <c r="O98" s="319">
        <v>6</v>
      </c>
      <c r="P98" s="324">
        <v>6</v>
      </c>
      <c r="Q98" s="319">
        <v>7</v>
      </c>
      <c r="R98" s="324">
        <v>7</v>
      </c>
      <c r="S98" s="329">
        <f t="shared" si="12"/>
        <v>38</v>
      </c>
      <c r="T98" s="324">
        <v>9</v>
      </c>
    </row>
    <row r="99" spans="1:20" x14ac:dyDescent="0.25">
      <c r="A99" s="114">
        <v>10</v>
      </c>
      <c r="B99" s="300" t="s">
        <v>194</v>
      </c>
      <c r="C99" s="301"/>
      <c r="D99" s="103">
        <v>169</v>
      </c>
      <c r="E99" s="103" t="s">
        <v>134</v>
      </c>
      <c r="F99" s="103" t="s">
        <v>188</v>
      </c>
      <c r="G99" s="103" t="s">
        <v>208</v>
      </c>
      <c r="H99" s="310">
        <v>5.6610265490156477</v>
      </c>
      <c r="I99" s="319">
        <v>9</v>
      </c>
      <c r="J99" s="318">
        <v>9</v>
      </c>
      <c r="K99" s="323">
        <v>9</v>
      </c>
      <c r="L99" s="324">
        <v>9</v>
      </c>
      <c r="M99" s="319">
        <v>9</v>
      </c>
      <c r="N99" s="324">
        <v>9</v>
      </c>
      <c r="O99" s="319">
        <v>10</v>
      </c>
      <c r="P99" s="324">
        <v>10</v>
      </c>
      <c r="Q99" s="319">
        <v>10</v>
      </c>
      <c r="R99" s="324">
        <v>10</v>
      </c>
      <c r="S99" s="329">
        <f t="shared" si="12"/>
        <v>47</v>
      </c>
      <c r="T99" s="324">
        <v>10</v>
      </c>
    </row>
    <row r="100" spans="1:20" ht="15.75" thickBot="1" x14ac:dyDescent="0.3">
      <c r="A100" s="114">
        <v>11</v>
      </c>
      <c r="B100" s="298" t="s">
        <v>124</v>
      </c>
      <c r="C100" s="299"/>
      <c r="D100" s="103">
        <v>215</v>
      </c>
      <c r="E100" s="103" t="s">
        <v>125</v>
      </c>
      <c r="F100" s="103" t="s">
        <v>187</v>
      </c>
      <c r="G100" s="103" t="s">
        <v>208</v>
      </c>
      <c r="H100" s="310">
        <v>5.6364133947095141</v>
      </c>
      <c r="I100" s="321">
        <v>10</v>
      </c>
      <c r="J100" s="322">
        <v>10</v>
      </c>
      <c r="K100" s="325">
        <v>11</v>
      </c>
      <c r="L100" s="326">
        <v>11</v>
      </c>
      <c r="M100" s="321">
        <v>11</v>
      </c>
      <c r="N100" s="326">
        <v>11</v>
      </c>
      <c r="O100" s="321">
        <v>11</v>
      </c>
      <c r="P100" s="326">
        <v>11</v>
      </c>
      <c r="Q100" s="321">
        <v>11</v>
      </c>
      <c r="R100" s="326">
        <v>11</v>
      </c>
      <c r="S100" s="330">
        <f t="shared" si="12"/>
        <v>54</v>
      </c>
      <c r="T100" s="326">
        <v>11</v>
      </c>
    </row>
    <row r="101" spans="1:20" x14ac:dyDescent="0.25">
      <c r="D101" s="114"/>
    </row>
    <row r="102" spans="1:20" x14ac:dyDescent="0.25">
      <c r="B102" s="296" t="s">
        <v>198</v>
      </c>
      <c r="C102" s="297"/>
      <c r="D102" s="117" t="s">
        <v>197</v>
      </c>
      <c r="E102" s="123" t="s">
        <v>214</v>
      </c>
      <c r="F102" s="123" t="s">
        <v>208</v>
      </c>
      <c r="G102" s="123" t="s">
        <v>213</v>
      </c>
      <c r="H102" s="119"/>
      <c r="I102" s="119"/>
    </row>
    <row r="103" spans="1:20" x14ac:dyDescent="0.25">
      <c r="B103" s="298" t="s">
        <v>167</v>
      </c>
      <c r="C103" s="299"/>
      <c r="D103" s="115" t="s">
        <v>158</v>
      </c>
      <c r="E103" s="115" t="s">
        <v>136</v>
      </c>
      <c r="F103" s="115" t="s">
        <v>118</v>
      </c>
      <c r="G103" s="115" t="s">
        <v>165</v>
      </c>
      <c r="H103" s="120"/>
      <c r="I103" s="120"/>
      <c r="J103" s="116"/>
    </row>
    <row r="104" spans="1:20" x14ac:dyDescent="0.25">
      <c r="B104" s="298" t="s">
        <v>195</v>
      </c>
      <c r="C104" s="299"/>
      <c r="D104" s="115" t="s">
        <v>144</v>
      </c>
      <c r="E104" s="115" t="s">
        <v>162</v>
      </c>
      <c r="F104" s="115" t="s">
        <v>194</v>
      </c>
      <c r="G104" s="120"/>
      <c r="H104" s="120"/>
      <c r="I104" s="120"/>
    </row>
    <row r="105" spans="1:20" x14ac:dyDescent="0.25">
      <c r="D105" s="115" t="s">
        <v>152</v>
      </c>
      <c r="F105" s="115" t="s">
        <v>124</v>
      </c>
      <c r="G105" s="120"/>
      <c r="H105" s="120"/>
      <c r="I105" s="121"/>
    </row>
    <row r="106" spans="1:20" x14ac:dyDescent="0.25">
      <c r="F106" s="120"/>
      <c r="G106" s="120"/>
      <c r="H106" s="121"/>
      <c r="I106" s="121"/>
    </row>
  </sheetData>
  <sortState ref="Q6:Q15">
    <sortCondition descending="1" ref="Q6:Q15"/>
  </sortState>
  <mergeCells count="97">
    <mergeCell ref="B84:C84"/>
    <mergeCell ref="B85:C85"/>
    <mergeCell ref="B86:C86"/>
    <mergeCell ref="B79:C79"/>
    <mergeCell ref="B80:C80"/>
    <mergeCell ref="B81:C81"/>
    <mergeCell ref="B82:C82"/>
    <mergeCell ref="B83:C83"/>
    <mergeCell ref="B72:C72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61:C61"/>
    <mergeCell ref="B50:C50"/>
    <mergeCell ref="B51:C51"/>
    <mergeCell ref="B52:C52"/>
    <mergeCell ref="B53:C53"/>
    <mergeCell ref="B54:C54"/>
    <mergeCell ref="B43:C43"/>
    <mergeCell ref="B44:C44"/>
    <mergeCell ref="B47:C47"/>
    <mergeCell ref="B48:C48"/>
    <mergeCell ref="B49:C49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9:C19"/>
    <mergeCell ref="B20:C20"/>
    <mergeCell ref="B5:C5"/>
    <mergeCell ref="B6:C6"/>
    <mergeCell ref="B7:C7"/>
    <mergeCell ref="B8:C8"/>
    <mergeCell ref="B9:C9"/>
    <mergeCell ref="B10:C10"/>
    <mergeCell ref="B11:C11"/>
    <mergeCell ref="B15:C15"/>
    <mergeCell ref="B16:C16"/>
    <mergeCell ref="B12:C12"/>
    <mergeCell ref="B13:C13"/>
    <mergeCell ref="B14:C14"/>
    <mergeCell ref="O88:P88"/>
    <mergeCell ref="Q88:R88"/>
    <mergeCell ref="I74:J74"/>
    <mergeCell ref="K74:L74"/>
    <mergeCell ref="M74:N74"/>
    <mergeCell ref="O74:P74"/>
    <mergeCell ref="Q74:R74"/>
    <mergeCell ref="B89:C89"/>
    <mergeCell ref="B90:C90"/>
    <mergeCell ref="I88:J88"/>
    <mergeCell ref="K88:L88"/>
    <mergeCell ref="M88:N88"/>
    <mergeCell ref="B91:C91"/>
    <mergeCell ref="B92:C92"/>
    <mergeCell ref="B93:C93"/>
    <mergeCell ref="B94:C94"/>
    <mergeCell ref="B95:C95"/>
    <mergeCell ref="B102:C102"/>
    <mergeCell ref="B103:C103"/>
    <mergeCell ref="B104:C104"/>
    <mergeCell ref="B96:C96"/>
    <mergeCell ref="B97:C97"/>
    <mergeCell ref="B98:C98"/>
    <mergeCell ref="B99:C99"/>
    <mergeCell ref="B100:C10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9"/>
  <sheetViews>
    <sheetView zoomScale="190" zoomScaleNormal="190" workbookViewId="0">
      <selection activeCell="A4" sqref="A4"/>
    </sheetView>
  </sheetViews>
  <sheetFormatPr defaultRowHeight="15" x14ac:dyDescent="0.25"/>
  <cols>
    <col min="1" max="1" width="7.42578125" customWidth="1"/>
    <col min="2" max="2" width="6" customWidth="1"/>
    <col min="3" max="3" width="5.85546875" customWidth="1"/>
    <col min="4" max="4" width="6" customWidth="1"/>
    <col min="5" max="5" width="6.28515625" customWidth="1"/>
    <col min="6" max="6" width="5.28515625" customWidth="1"/>
    <col min="7" max="55" width="4.7109375" customWidth="1"/>
    <col min="56" max="56" width="5.140625" customWidth="1"/>
  </cols>
  <sheetData>
    <row r="1" spans="1:56" x14ac:dyDescent="0.25">
      <c r="B1">
        <v>1052</v>
      </c>
      <c r="C1">
        <v>1010</v>
      </c>
      <c r="D1">
        <v>972</v>
      </c>
      <c r="E1" s="110">
        <v>936.3</v>
      </c>
      <c r="F1" s="110">
        <v>904.5</v>
      </c>
      <c r="G1">
        <v>875</v>
      </c>
      <c r="H1" s="110">
        <v>847.5</v>
      </c>
      <c r="I1" s="110">
        <v>822.5</v>
      </c>
      <c r="J1" s="110">
        <v>798.7</v>
      </c>
      <c r="K1" s="109">
        <v>769</v>
      </c>
      <c r="L1">
        <v>749</v>
      </c>
      <c r="M1">
        <v>737</v>
      </c>
      <c r="N1">
        <v>720</v>
      </c>
      <c r="O1" s="110">
        <v>703</v>
      </c>
      <c r="P1">
        <v>687</v>
      </c>
      <c r="Q1" s="110">
        <v>671.5</v>
      </c>
      <c r="R1" s="110">
        <v>657.5</v>
      </c>
      <c r="S1">
        <v>644</v>
      </c>
      <c r="T1">
        <v>631</v>
      </c>
      <c r="U1" s="110">
        <v>618.6</v>
      </c>
      <c r="V1" s="110">
        <v>606.79999999999995</v>
      </c>
      <c r="W1" s="110">
        <v>595.6</v>
      </c>
      <c r="X1">
        <v>585</v>
      </c>
      <c r="Y1" s="110">
        <v>574.5</v>
      </c>
      <c r="Z1">
        <v>565</v>
      </c>
      <c r="AA1" s="110">
        <v>555.5</v>
      </c>
      <c r="AB1" s="110">
        <v>546.5</v>
      </c>
      <c r="AC1" s="110">
        <v>537.9</v>
      </c>
      <c r="AD1" s="110">
        <v>529.4</v>
      </c>
      <c r="AE1" s="110">
        <v>521.4</v>
      </c>
      <c r="AF1" s="110">
        <v>513.6</v>
      </c>
      <c r="AG1" s="110">
        <v>506.1</v>
      </c>
      <c r="AH1">
        <v>499</v>
      </c>
      <c r="AI1">
        <v>492</v>
      </c>
      <c r="AJ1" s="110">
        <v>485.3</v>
      </c>
      <c r="AK1" s="110">
        <v>478.6</v>
      </c>
      <c r="AL1" s="110">
        <v>472.4</v>
      </c>
      <c r="AM1" s="110">
        <v>466.3</v>
      </c>
      <c r="AN1" s="110">
        <v>460.4</v>
      </c>
      <c r="AO1" s="110">
        <v>454.8</v>
      </c>
      <c r="AP1" s="110">
        <v>449.1</v>
      </c>
      <c r="AQ1" s="110">
        <v>443.8</v>
      </c>
      <c r="AR1" s="110">
        <v>438.6</v>
      </c>
      <c r="AS1" s="110">
        <v>433.5</v>
      </c>
      <c r="AT1" s="110">
        <v>428.5</v>
      </c>
      <c r="AU1" s="110">
        <v>424.2</v>
      </c>
      <c r="AV1" s="110">
        <v>419.5</v>
      </c>
      <c r="AW1" s="110">
        <v>415</v>
      </c>
      <c r="AX1" s="110">
        <v>410.6</v>
      </c>
      <c r="AY1" s="110">
        <v>406.5</v>
      </c>
      <c r="AZ1" s="110">
        <v>402.4</v>
      </c>
      <c r="BA1" s="109">
        <v>398.3</v>
      </c>
      <c r="BB1" s="109">
        <v>394.3</v>
      </c>
      <c r="BC1" s="110">
        <v>390.4</v>
      </c>
      <c r="BD1" s="109">
        <v>386.7</v>
      </c>
    </row>
    <row r="2" spans="1:56" x14ac:dyDescent="0.25">
      <c r="B2">
        <v>16</v>
      </c>
      <c r="C2">
        <v>17</v>
      </c>
      <c r="D2">
        <v>18</v>
      </c>
      <c r="E2">
        <v>19</v>
      </c>
      <c r="F2">
        <v>20</v>
      </c>
      <c r="G2">
        <v>21</v>
      </c>
      <c r="H2">
        <v>22</v>
      </c>
      <c r="I2">
        <v>23</v>
      </c>
      <c r="J2">
        <v>24</v>
      </c>
      <c r="K2">
        <v>25</v>
      </c>
      <c r="L2">
        <v>26</v>
      </c>
      <c r="M2">
        <v>27</v>
      </c>
      <c r="N2">
        <v>28</v>
      </c>
      <c r="O2">
        <v>29</v>
      </c>
      <c r="P2">
        <v>30</v>
      </c>
      <c r="Q2">
        <v>31</v>
      </c>
      <c r="R2">
        <v>32</v>
      </c>
      <c r="S2">
        <v>33</v>
      </c>
      <c r="T2">
        <v>34</v>
      </c>
      <c r="U2">
        <v>35</v>
      </c>
      <c r="V2">
        <v>36</v>
      </c>
      <c r="W2">
        <v>37</v>
      </c>
      <c r="X2">
        <v>38</v>
      </c>
      <c r="Y2">
        <v>39</v>
      </c>
      <c r="Z2">
        <v>40</v>
      </c>
      <c r="AA2">
        <v>41</v>
      </c>
      <c r="AB2">
        <v>42</v>
      </c>
      <c r="AC2">
        <v>43</v>
      </c>
      <c r="AD2">
        <v>44</v>
      </c>
      <c r="AE2">
        <v>45</v>
      </c>
      <c r="AF2">
        <v>46</v>
      </c>
      <c r="AG2">
        <v>47</v>
      </c>
      <c r="AH2">
        <v>48</v>
      </c>
      <c r="AI2">
        <v>49</v>
      </c>
      <c r="AJ2">
        <v>50</v>
      </c>
      <c r="AK2">
        <v>51</v>
      </c>
      <c r="AL2">
        <v>52</v>
      </c>
      <c r="AM2">
        <v>53</v>
      </c>
      <c r="AN2">
        <v>54</v>
      </c>
      <c r="AO2">
        <v>55</v>
      </c>
      <c r="AP2">
        <v>56</v>
      </c>
      <c r="AQ2">
        <v>57</v>
      </c>
      <c r="AR2">
        <v>58</v>
      </c>
      <c r="AS2">
        <v>59</v>
      </c>
      <c r="AT2">
        <v>60</v>
      </c>
      <c r="AU2">
        <v>61</v>
      </c>
      <c r="AV2">
        <v>62</v>
      </c>
      <c r="AW2">
        <v>63</v>
      </c>
      <c r="AX2">
        <v>64</v>
      </c>
      <c r="AY2">
        <v>65</v>
      </c>
      <c r="AZ2">
        <v>66</v>
      </c>
      <c r="BA2">
        <v>67</v>
      </c>
      <c r="BB2">
        <v>68</v>
      </c>
      <c r="BC2">
        <v>69</v>
      </c>
      <c r="BD2" s="108">
        <v>70</v>
      </c>
    </row>
    <row r="4" spans="1:56" x14ac:dyDescent="0.25">
      <c r="A4" s="107">
        <f>INT(457468*A5^(-1.475))</f>
        <v>36</v>
      </c>
    </row>
    <row r="5" spans="1:56" x14ac:dyDescent="0.25">
      <c r="A5" s="107">
        <v>595</v>
      </c>
    </row>
    <row r="8" spans="1:56" x14ac:dyDescent="0.25">
      <c r="A8" s="107"/>
    </row>
    <row r="18" spans="2:12" x14ac:dyDescent="0.25">
      <c r="B18" s="110"/>
      <c r="C18" s="110"/>
      <c r="D18" s="110"/>
      <c r="E18" s="113">
        <v>0.69</v>
      </c>
      <c r="F18" s="110">
        <v>0.52</v>
      </c>
      <c r="G18" s="110">
        <v>0.44</v>
      </c>
      <c r="H18" s="110">
        <v>0.38500000000000001</v>
      </c>
      <c r="I18" s="110">
        <v>0.35</v>
      </c>
      <c r="J18" s="110">
        <v>0.32300000000000001</v>
      </c>
      <c r="L18" s="110">
        <v>0.28999999999999998</v>
      </c>
    </row>
    <row r="19" spans="2:12" x14ac:dyDescent="0.25">
      <c r="B19">
        <v>0</v>
      </c>
      <c r="C19">
        <v>2</v>
      </c>
      <c r="D19">
        <v>4</v>
      </c>
      <c r="E19">
        <v>6</v>
      </c>
      <c r="F19">
        <v>8</v>
      </c>
      <c r="G19">
        <v>10</v>
      </c>
      <c r="H19">
        <v>12</v>
      </c>
      <c r="I19">
        <v>14</v>
      </c>
      <c r="J19">
        <v>16</v>
      </c>
      <c r="K19">
        <v>18</v>
      </c>
      <c r="L19">
        <v>20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Мерилки</vt:lpstr>
      <vt:lpstr>Расчет</vt:lpstr>
      <vt:lpstr>Классификация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</dc:creator>
  <cp:lastModifiedBy>Леонид</cp:lastModifiedBy>
  <cp:lastPrinted>2017-10-05T11:45:47Z</cp:lastPrinted>
  <dcterms:created xsi:type="dcterms:W3CDTF">2017-10-03T13:08:05Z</dcterms:created>
  <dcterms:modified xsi:type="dcterms:W3CDTF">2017-10-14T11:05:40Z</dcterms:modified>
</cp:coreProperties>
</file>